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o365ucr.sharepoint.com/teams/Entomology_admin-Accounting/Shared Documents/Accounting/Analyst Templates/_Budget Templates/"/>
    </mc:Choice>
  </mc:AlternateContent>
  <xr:revisionPtr revIDLastSave="57" documentId="13_ncr:1_{6169E5C4-62CA-4F54-BC1C-2F61A72BF569}" xr6:coauthVersionLast="47" xr6:coauthVersionMax="47" xr10:uidLastSave="{2170E638-BB30-4B5E-B148-85661C5EA9E0}"/>
  <bookViews>
    <workbookView xWindow="-28908" yWindow="1212" windowWidth="29016" windowHeight="15696" tabRatio="673" activeTab="2" xr2:uid="{00000000-000D-0000-FFFF-FFFF00000000}"/>
  </bookViews>
  <sheets>
    <sheet name="SalaryWorksheet" sheetId="46" r:id="rId1"/>
    <sheet name="ProjectWrksht" sheetId="45" r:id="rId2"/>
    <sheet name="Summary" sheetId="49" r:id="rId3"/>
    <sheet name="TABLES" sheetId="48" state="hidden" r:id="rId4"/>
    <sheet name="F&amp;A Rates" sheetId="51" state="hidden" r:id="rId5"/>
  </sheets>
  <externalReferences>
    <externalReference r:id="rId6"/>
  </externalReferences>
  <definedNames>
    <definedName name="ACADPERSON">[1]WORKSHEET!$J$10</definedName>
    <definedName name="BENEFITS">[1]WORKSHEET!$J$51</definedName>
    <definedName name="CLERICAL">[1]WORKSHEET!$J$29</definedName>
    <definedName name="COMPUTER">[1]WORKSHEET!$J$65</definedName>
    <definedName name="CoP.D.1">[1]WORKSHEET!$B$4</definedName>
    <definedName name="CoP.D.2">[1]WORKSHEET!$D$3</definedName>
    <definedName name="CoP.D.3">[1]WORKSHEET!$D$4</definedName>
    <definedName name="GSRS">[1]WORKSHEET!$J$24</definedName>
    <definedName name="MOSACAD">[1]WORKSHEET!$H$10</definedName>
    <definedName name="MOSPOSTDOCS">[1]WORKSHEET!$H$14</definedName>
    <definedName name="MOSPROF">[1]WORKSHEET!$H$19</definedName>
    <definedName name="MOSSENIOR">[1]WORKSHEET!$H$11</definedName>
    <definedName name="NUMGSRS">[1]WORKSHEET!$F$23</definedName>
    <definedName name="NUMGSRSNRT">[1]WORKSHEET!$F$24</definedName>
    <definedName name="OTHERDIRECT">[1]WORKSHEET!$J$69</definedName>
    <definedName name="P.D.">[1]WORKSHEET!$B$3</definedName>
    <definedName name="PARAPROF">[1]WORKSHEET!$J$21</definedName>
    <definedName name="POSTDOCS">[1]WORKSHEET!$J$14</definedName>
    <definedName name="_xlnm.Print_Area" localSheetId="1">ProjectWrksht!$A$1:$L$156</definedName>
    <definedName name="_xlnm.Print_Area" localSheetId="0">SalaryWorksheet!$A$1:$Q$220</definedName>
    <definedName name="PROFESSIONALS">[1]WORKSHEET!$J$20</definedName>
    <definedName name="PUBLICATIONS">[1]WORKSHEET!$J$64</definedName>
    <definedName name="SENIORASSOC">[1]WORKSHEET!$J$11</definedName>
    <definedName name="STUDENTASSIST">[1]WORKSHEET!$J$66</definedName>
    <definedName name="SUPPLIES">[1]WORKSHEET!$J$62</definedName>
    <definedName name="TECHNICAL">[1]WORKSHEET!$J$35</definedName>
    <definedName name="TRAVEL">[1]WORKSHEET!$J$57</definedName>
    <definedName name="UNDERGRAD">[1]WORKSHEET!$J$27</definedName>
    <definedName name="YR1EQUIPMENT">[1]WORKSHEET!$C$54</definedName>
    <definedName name="YR2EQUIPMENT">[1]WORKSHEET!$D$54</definedName>
    <definedName name="YR3EQUIPMENT">[1]WORKSHEET!$F$54</definedName>
    <definedName name="YR4EQUIPMENT">[1]WORKSHEET!$G$54</definedName>
    <definedName name="YR5EQUIPMENT">[1]WORKSHEET!$I$54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46" l="1"/>
  <c r="N87" i="46"/>
  <c r="O87" i="46"/>
  <c r="P87" i="46"/>
  <c r="L87" i="46"/>
  <c r="M78" i="46"/>
  <c r="N78" i="46"/>
  <c r="O78" i="46"/>
  <c r="P78" i="46"/>
  <c r="L78" i="46"/>
  <c r="M69" i="46"/>
  <c r="N69" i="46"/>
  <c r="O69" i="46"/>
  <c r="P69" i="46"/>
  <c r="L69" i="46"/>
  <c r="M60" i="46"/>
  <c r="N60" i="46"/>
  <c r="O60" i="46"/>
  <c r="P60" i="46"/>
  <c r="L60" i="46"/>
  <c r="M51" i="46"/>
  <c r="N51" i="46"/>
  <c r="O51" i="46"/>
  <c r="P51" i="46"/>
  <c r="L51" i="46"/>
  <c r="M42" i="46"/>
  <c r="N42" i="46"/>
  <c r="O42" i="46"/>
  <c r="P42" i="46"/>
  <c r="L42" i="46"/>
  <c r="M33" i="46"/>
  <c r="N33" i="46"/>
  <c r="O33" i="46"/>
  <c r="P33" i="46"/>
  <c r="L33" i="46"/>
  <c r="P27" i="46"/>
  <c r="O27" i="46"/>
  <c r="N27" i="46"/>
  <c r="M27" i="46"/>
  <c r="L27" i="46"/>
  <c r="P22" i="46"/>
  <c r="O22" i="46"/>
  <c r="N22" i="46"/>
  <c r="M22" i="46"/>
  <c r="L22" i="46"/>
  <c r="P17" i="46"/>
  <c r="O17" i="46"/>
  <c r="N17" i="46"/>
  <c r="M17" i="46"/>
  <c r="L12" i="46"/>
  <c r="L17" i="46"/>
  <c r="N12" i="46"/>
  <c r="M12" i="46"/>
  <c r="P12" i="46"/>
  <c r="O12" i="46"/>
  <c r="P7" i="46"/>
  <c r="O7" i="46"/>
  <c r="N7" i="46"/>
  <c r="M7" i="46"/>
  <c r="L7" i="46"/>
  <c r="A3" i="48"/>
  <c r="A4" i="48" s="1"/>
  <c r="A5" i="48" s="1"/>
  <c r="A6" i="48" s="1"/>
  <c r="A7" i="48" s="1"/>
  <c r="A8" i="48" s="1"/>
  <c r="P92" i="46"/>
  <c r="M92" i="46"/>
  <c r="N92" i="46"/>
  <c r="O92" i="46"/>
  <c r="M93" i="46"/>
  <c r="N93" i="46"/>
  <c r="O93" i="46"/>
  <c r="P93" i="46"/>
  <c r="L93" i="46"/>
  <c r="L92" i="46"/>
  <c r="M83" i="46"/>
  <c r="N83" i="46"/>
  <c r="O83" i="46"/>
  <c r="P83" i="46"/>
  <c r="M84" i="46"/>
  <c r="N84" i="46"/>
  <c r="O84" i="46"/>
  <c r="P84" i="46"/>
  <c r="L84" i="46"/>
  <c r="L83" i="46"/>
  <c r="M74" i="46"/>
  <c r="N74" i="46"/>
  <c r="O74" i="46"/>
  <c r="P74" i="46"/>
  <c r="M75" i="46"/>
  <c r="N75" i="46"/>
  <c r="O75" i="46"/>
  <c r="P75" i="46"/>
  <c r="L75" i="46"/>
  <c r="L74" i="46"/>
  <c r="M65" i="46"/>
  <c r="N65" i="46"/>
  <c r="O65" i="46"/>
  <c r="P65" i="46"/>
  <c r="M66" i="46"/>
  <c r="N66" i="46"/>
  <c r="O66" i="46"/>
  <c r="P66" i="46"/>
  <c r="L66" i="46"/>
  <c r="L65" i="46"/>
  <c r="M56" i="46"/>
  <c r="N56" i="46"/>
  <c r="O56" i="46"/>
  <c r="P56" i="46"/>
  <c r="M57" i="46"/>
  <c r="N57" i="46"/>
  <c r="O57" i="46"/>
  <c r="P57" i="46"/>
  <c r="L57" i="46"/>
  <c r="L56" i="46"/>
  <c r="N47" i="46"/>
  <c r="M47" i="46"/>
  <c r="O47" i="46"/>
  <c r="P47" i="46"/>
  <c r="M48" i="46"/>
  <c r="N48" i="46"/>
  <c r="O48" i="46"/>
  <c r="P48" i="46"/>
  <c r="L48" i="46"/>
  <c r="L38" i="46"/>
  <c r="L47" i="46"/>
  <c r="O5" i="46"/>
  <c r="N5" i="46"/>
  <c r="M5" i="46"/>
  <c r="L5" i="46"/>
  <c r="Q92" i="46" l="1"/>
  <c r="Q93" i="46"/>
  <c r="Q83" i="46"/>
  <c r="Q84" i="46"/>
  <c r="Q74" i="46"/>
  <c r="Q75" i="46"/>
  <c r="Q56" i="46"/>
  <c r="Q65" i="46"/>
  <c r="Q66" i="46"/>
  <c r="Q57" i="46"/>
  <c r="Q48" i="46"/>
  <c r="Q47" i="46"/>
  <c r="C55" i="48"/>
  <c r="D43" i="48" l="1"/>
  <c r="E43" i="48" s="1"/>
  <c r="F43" i="48" s="1"/>
  <c r="G43" i="48" s="1"/>
  <c r="H43" i="48" s="1"/>
  <c r="D44" i="48"/>
  <c r="E44" i="48" s="1"/>
  <c r="F44" i="48" s="1"/>
  <c r="G44" i="48" s="1"/>
  <c r="H44" i="48" s="1"/>
  <c r="D45" i="48"/>
  <c r="E45" i="48" s="1"/>
  <c r="F45" i="48" s="1"/>
  <c r="G45" i="48" s="1"/>
  <c r="H45" i="48" s="1"/>
  <c r="D46" i="48"/>
  <c r="E46" i="48" s="1"/>
  <c r="F46" i="48" s="1"/>
  <c r="G46" i="48" s="1"/>
  <c r="H46" i="48" s="1"/>
  <c r="D47" i="48"/>
  <c r="E47" i="48" s="1"/>
  <c r="F47" i="48" s="1"/>
  <c r="G47" i="48" s="1"/>
  <c r="H47" i="48" s="1"/>
  <c r="D48" i="48"/>
  <c r="E48" i="48" s="1"/>
  <c r="F48" i="48" s="1"/>
  <c r="G48" i="48" s="1"/>
  <c r="H48" i="48" s="1"/>
  <c r="D49" i="48"/>
  <c r="E49" i="48" s="1"/>
  <c r="F49" i="48" s="1"/>
  <c r="G49" i="48" s="1"/>
  <c r="H49" i="48" s="1"/>
  <c r="D42" i="48"/>
  <c r="E42" i="48" s="1"/>
  <c r="F42" i="48" s="1"/>
  <c r="G42" i="48" s="1"/>
  <c r="H42" i="48" s="1"/>
  <c r="D71" i="48"/>
  <c r="E71" i="48" s="1"/>
  <c r="F71" i="48" s="1"/>
  <c r="G71" i="48" s="1"/>
  <c r="H71" i="48" s="1"/>
  <c r="D72" i="48"/>
  <c r="E72" i="48" s="1"/>
  <c r="F72" i="48" s="1"/>
  <c r="G72" i="48" s="1"/>
  <c r="H72" i="48" s="1"/>
  <c r="D73" i="48"/>
  <c r="E73" i="48" s="1"/>
  <c r="F73" i="48" s="1"/>
  <c r="G73" i="48" s="1"/>
  <c r="H73" i="48" s="1"/>
  <c r="D74" i="48"/>
  <c r="E74" i="48" s="1"/>
  <c r="F74" i="48" s="1"/>
  <c r="G74" i="48" s="1"/>
  <c r="H74" i="48" s="1"/>
  <c r="D75" i="48"/>
  <c r="E75" i="48" s="1"/>
  <c r="F75" i="48" s="1"/>
  <c r="G75" i="48" s="1"/>
  <c r="H75" i="48" s="1"/>
  <c r="D70" i="48"/>
  <c r="E70" i="48" s="1"/>
  <c r="F70" i="48" s="1"/>
  <c r="G70" i="48" s="1"/>
  <c r="H70" i="48" s="1"/>
  <c r="E76" i="48"/>
  <c r="F76" i="48"/>
  <c r="G76" i="48"/>
  <c r="H76" i="48"/>
  <c r="E77" i="48"/>
  <c r="F77" i="48"/>
  <c r="G77" i="48" s="1"/>
  <c r="H77" i="48" s="1"/>
  <c r="E80" i="48"/>
  <c r="F80" i="48"/>
  <c r="G80" i="48"/>
  <c r="H80" i="48"/>
  <c r="E81" i="48"/>
  <c r="F81" i="48"/>
  <c r="G81" i="48" s="1"/>
  <c r="H81" i="48" s="1"/>
  <c r="E88" i="48"/>
  <c r="F88" i="48"/>
  <c r="G88" i="48" s="1"/>
  <c r="H88" i="48" s="1"/>
  <c r="D76" i="48"/>
  <c r="D77" i="48"/>
  <c r="D78" i="48"/>
  <c r="E78" i="48" s="1"/>
  <c r="F78" i="48" s="1"/>
  <c r="G78" i="48" s="1"/>
  <c r="H78" i="48" s="1"/>
  <c r="D79" i="48"/>
  <c r="E79" i="48" s="1"/>
  <c r="F79" i="48" s="1"/>
  <c r="G79" i="48" s="1"/>
  <c r="H79" i="48" s="1"/>
  <c r="D80" i="48"/>
  <c r="D81" i="48"/>
  <c r="D82" i="48"/>
  <c r="E82" i="48" s="1"/>
  <c r="F82" i="48" s="1"/>
  <c r="G82" i="48" s="1"/>
  <c r="H82" i="48" s="1"/>
  <c r="D83" i="48"/>
  <c r="E83" i="48" s="1"/>
  <c r="F83" i="48" s="1"/>
  <c r="G83" i="48" s="1"/>
  <c r="H83" i="48" s="1"/>
  <c r="D84" i="48"/>
  <c r="E84" i="48" s="1"/>
  <c r="F84" i="48" s="1"/>
  <c r="G84" i="48" s="1"/>
  <c r="H84" i="48" s="1"/>
  <c r="D85" i="48"/>
  <c r="E85" i="48" s="1"/>
  <c r="F85" i="48" s="1"/>
  <c r="G85" i="48" s="1"/>
  <c r="H85" i="48" s="1"/>
  <c r="D86" i="48"/>
  <c r="E86" i="48" s="1"/>
  <c r="F86" i="48" s="1"/>
  <c r="G86" i="48" s="1"/>
  <c r="H86" i="48" s="1"/>
  <c r="D87" i="48"/>
  <c r="E87" i="48" s="1"/>
  <c r="F87" i="48" s="1"/>
  <c r="G87" i="48" s="1"/>
  <c r="H87" i="48" s="1"/>
  <c r="D88" i="48"/>
  <c r="D89" i="48"/>
  <c r="E89" i="48" s="1"/>
  <c r="F89" i="48" s="1"/>
  <c r="G89" i="48" s="1"/>
  <c r="H89" i="48" s="1"/>
  <c r="D90" i="48"/>
  <c r="E90" i="48" s="1"/>
  <c r="F90" i="48" s="1"/>
  <c r="G90" i="48" s="1"/>
  <c r="H90" i="48" s="1"/>
  <c r="D91" i="48"/>
  <c r="E91" i="48" s="1"/>
  <c r="F91" i="48" s="1"/>
  <c r="G91" i="48" s="1"/>
  <c r="H91" i="48" s="1"/>
  <c r="D92" i="48"/>
  <c r="E92" i="48" s="1"/>
  <c r="F92" i="48" s="1"/>
  <c r="G92" i="48" s="1"/>
  <c r="H92" i="48" s="1"/>
  <c r="D93" i="48"/>
  <c r="E93" i="48" s="1"/>
  <c r="F93" i="48" s="1"/>
  <c r="G93" i="48" s="1"/>
  <c r="H93" i="48" s="1"/>
  <c r="D94" i="48"/>
  <c r="E94" i="48" s="1"/>
  <c r="F94" i="48" s="1"/>
  <c r="G94" i="48" s="1"/>
  <c r="H94" i="48" s="1"/>
  <c r="E12" i="48"/>
  <c r="F12" i="48"/>
  <c r="G12" i="48"/>
  <c r="H12" i="48"/>
  <c r="E13" i="48"/>
  <c r="F13" i="48"/>
  <c r="G13" i="48"/>
  <c r="H13" i="48" s="1"/>
  <c r="E15" i="48"/>
  <c r="F15" i="48"/>
  <c r="G15" i="48"/>
  <c r="H15" i="48"/>
  <c r="E16" i="48"/>
  <c r="F16" i="48"/>
  <c r="G16" i="48"/>
  <c r="H16" i="48"/>
  <c r="E17" i="48"/>
  <c r="F17" i="48" s="1"/>
  <c r="G17" i="48" s="1"/>
  <c r="H17" i="48" s="1"/>
  <c r="E20" i="48"/>
  <c r="F20" i="48"/>
  <c r="G20" i="48"/>
  <c r="H20" i="48" s="1"/>
  <c r="E24" i="48"/>
  <c r="F24" i="48" s="1"/>
  <c r="G24" i="48" s="1"/>
  <c r="H24" i="48" s="1"/>
  <c r="E26" i="48"/>
  <c r="F26" i="48"/>
  <c r="G26" i="48"/>
  <c r="H26" i="48"/>
  <c r="E27" i="48"/>
  <c r="F27" i="48"/>
  <c r="G27" i="48"/>
  <c r="H27" i="48" s="1"/>
  <c r="E29" i="48"/>
  <c r="F29" i="48"/>
  <c r="G29" i="48"/>
  <c r="H29" i="48"/>
  <c r="E30" i="48"/>
  <c r="F30" i="48"/>
  <c r="G30" i="48"/>
  <c r="H30" i="48"/>
  <c r="E31" i="48"/>
  <c r="F31" i="48" s="1"/>
  <c r="G31" i="48" s="1"/>
  <c r="H31" i="48" s="1"/>
  <c r="E34" i="48"/>
  <c r="F34" i="48"/>
  <c r="G34" i="48"/>
  <c r="H34" i="48" s="1"/>
  <c r="E38" i="48"/>
  <c r="F38" i="48" s="1"/>
  <c r="G38" i="48" s="1"/>
  <c r="H38" i="48" s="1"/>
  <c r="E40" i="48"/>
  <c r="F40" i="48"/>
  <c r="G40" i="48"/>
  <c r="H40" i="48"/>
  <c r="E41" i="48"/>
  <c r="F41" i="48"/>
  <c r="G41" i="48"/>
  <c r="H41" i="48" s="1"/>
  <c r="D13" i="48"/>
  <c r="D14" i="48"/>
  <c r="E14" i="48" s="1"/>
  <c r="F14" i="48" s="1"/>
  <c r="G14" i="48" s="1"/>
  <c r="H14" i="48" s="1"/>
  <c r="D15" i="48"/>
  <c r="D16" i="48"/>
  <c r="D17" i="48"/>
  <c r="D18" i="48"/>
  <c r="E18" i="48" s="1"/>
  <c r="F18" i="48" s="1"/>
  <c r="G18" i="48" s="1"/>
  <c r="H18" i="48" s="1"/>
  <c r="D19" i="48"/>
  <c r="E19" i="48" s="1"/>
  <c r="F19" i="48" s="1"/>
  <c r="G19" i="48" s="1"/>
  <c r="H19" i="48" s="1"/>
  <c r="D20" i="48"/>
  <c r="D21" i="48"/>
  <c r="E21" i="48" s="1"/>
  <c r="F21" i="48" s="1"/>
  <c r="G21" i="48" s="1"/>
  <c r="H21" i="48" s="1"/>
  <c r="D22" i="48"/>
  <c r="E22" i="48" s="1"/>
  <c r="F22" i="48" s="1"/>
  <c r="G22" i="48" s="1"/>
  <c r="H22" i="48" s="1"/>
  <c r="D23" i="48"/>
  <c r="E23" i="48" s="1"/>
  <c r="F23" i="48" s="1"/>
  <c r="G23" i="48" s="1"/>
  <c r="H23" i="48" s="1"/>
  <c r="D24" i="48"/>
  <c r="D25" i="48"/>
  <c r="E25" i="48" s="1"/>
  <c r="F25" i="48" s="1"/>
  <c r="G25" i="48" s="1"/>
  <c r="H25" i="48" s="1"/>
  <c r="D26" i="48"/>
  <c r="D27" i="48"/>
  <c r="D28" i="48"/>
  <c r="E28" i="48" s="1"/>
  <c r="F28" i="48" s="1"/>
  <c r="G28" i="48" s="1"/>
  <c r="H28" i="48" s="1"/>
  <c r="D29" i="48"/>
  <c r="D30" i="48"/>
  <c r="D31" i="48"/>
  <c r="D32" i="48"/>
  <c r="E32" i="48" s="1"/>
  <c r="F32" i="48" s="1"/>
  <c r="G32" i="48" s="1"/>
  <c r="H32" i="48" s="1"/>
  <c r="D33" i="48"/>
  <c r="E33" i="48" s="1"/>
  <c r="F33" i="48" s="1"/>
  <c r="G33" i="48" s="1"/>
  <c r="H33" i="48" s="1"/>
  <c r="D34" i="48"/>
  <c r="D35" i="48"/>
  <c r="E35" i="48" s="1"/>
  <c r="F35" i="48" s="1"/>
  <c r="G35" i="48" s="1"/>
  <c r="H35" i="48" s="1"/>
  <c r="D36" i="48"/>
  <c r="E36" i="48" s="1"/>
  <c r="F36" i="48" s="1"/>
  <c r="G36" i="48" s="1"/>
  <c r="H36" i="48" s="1"/>
  <c r="D37" i="48"/>
  <c r="E37" i="48" s="1"/>
  <c r="F37" i="48" s="1"/>
  <c r="G37" i="48" s="1"/>
  <c r="H37" i="48" s="1"/>
  <c r="D38" i="48"/>
  <c r="D39" i="48"/>
  <c r="E39" i="48" s="1"/>
  <c r="F39" i="48" s="1"/>
  <c r="G39" i="48" s="1"/>
  <c r="H39" i="48" s="1"/>
  <c r="D40" i="48"/>
  <c r="D41" i="48"/>
  <c r="D50" i="48"/>
  <c r="E50" i="48" s="1"/>
  <c r="F50" i="48" s="1"/>
  <c r="G50" i="48" s="1"/>
  <c r="H50" i="48" s="1"/>
  <c r="D51" i="48"/>
  <c r="E51" i="48" s="1"/>
  <c r="F51" i="48" s="1"/>
  <c r="G51" i="48" s="1"/>
  <c r="H51" i="48" s="1"/>
  <c r="D52" i="48"/>
  <c r="E52" i="48" s="1"/>
  <c r="F52" i="48" s="1"/>
  <c r="G52" i="48" s="1"/>
  <c r="H52" i="48" s="1"/>
  <c r="D53" i="48"/>
  <c r="E53" i="48" s="1"/>
  <c r="F53" i="48" s="1"/>
  <c r="G53" i="48" s="1"/>
  <c r="H53" i="48" s="1"/>
  <c r="D12" i="48"/>
  <c r="B116" i="48"/>
  <c r="B117" i="48"/>
  <c r="P5" i="46"/>
  <c r="B119" i="48"/>
  <c r="C119" i="48" s="1"/>
  <c r="M90" i="46" l="1"/>
  <c r="N90" i="46"/>
  <c r="O90" i="46"/>
  <c r="P90" i="46"/>
  <c r="M81" i="46"/>
  <c r="N81" i="46"/>
  <c r="O81" i="46"/>
  <c r="P81" i="46"/>
  <c r="M72" i="46"/>
  <c r="N72" i="46"/>
  <c r="O72" i="46"/>
  <c r="P72" i="46"/>
  <c r="M63" i="46"/>
  <c r="N63" i="46"/>
  <c r="O63" i="46"/>
  <c r="P63" i="46"/>
  <c r="N54" i="46"/>
  <c r="O54" i="46"/>
  <c r="P54" i="46"/>
  <c r="P45" i="46"/>
  <c r="O45" i="46"/>
  <c r="M45" i="46"/>
  <c r="P36" i="46"/>
  <c r="O36" i="46"/>
  <c r="N36" i="46"/>
  <c r="M36" i="46"/>
  <c r="M39" i="46"/>
  <c r="N39" i="46"/>
  <c r="O39" i="46"/>
  <c r="P39" i="46"/>
  <c r="M38" i="46"/>
  <c r="N38" i="46"/>
  <c r="O38" i="46"/>
  <c r="P38" i="46"/>
  <c r="L90" i="46"/>
  <c r="L81" i="46"/>
  <c r="L72" i="46"/>
  <c r="L63" i="46"/>
  <c r="L54" i="46"/>
  <c r="C117" i="48"/>
  <c r="L39" i="46"/>
  <c r="C116" i="48"/>
  <c r="Q38" i="46" l="1"/>
  <c r="Q39" i="46"/>
  <c r="C118" i="48"/>
  <c r="M54" i="46" s="1"/>
  <c r="D99" i="48" l="1"/>
  <c r="C99" i="48"/>
  <c r="C96" i="48"/>
  <c r="C95" i="48"/>
  <c r="C56" i="48"/>
  <c r="C57" i="48"/>
  <c r="C58" i="48"/>
  <c r="C59" i="48"/>
  <c r="D59" i="48" s="1"/>
  <c r="E59" i="48" s="1"/>
  <c r="F59" i="48" s="1"/>
  <c r="G59" i="48" s="1"/>
  <c r="H59" i="48" s="1"/>
  <c r="C60" i="48"/>
  <c r="D60" i="48" s="1"/>
  <c r="E60" i="48" s="1"/>
  <c r="F60" i="48" s="1"/>
  <c r="G60" i="48" s="1"/>
  <c r="H60" i="48" s="1"/>
  <c r="C61" i="48"/>
  <c r="D61" i="48" s="1"/>
  <c r="E61" i="48" s="1"/>
  <c r="F61" i="48" s="1"/>
  <c r="G61" i="48" s="1"/>
  <c r="H61" i="48" s="1"/>
  <c r="C62" i="48"/>
  <c r="D62" i="48" s="1"/>
  <c r="E62" i="48" s="1"/>
  <c r="F62" i="48" s="1"/>
  <c r="G62" i="48" s="1"/>
  <c r="H62" i="48" s="1"/>
  <c r="C63" i="48"/>
  <c r="D63" i="48" s="1"/>
  <c r="E63" i="48" s="1"/>
  <c r="F63" i="48" s="1"/>
  <c r="G63" i="48" s="1"/>
  <c r="H63" i="48" s="1"/>
  <c r="C64" i="48"/>
  <c r="D64" i="48" s="1"/>
  <c r="E64" i="48" s="1"/>
  <c r="F64" i="48" s="1"/>
  <c r="G64" i="48" s="1"/>
  <c r="H64" i="48" s="1"/>
  <c r="C65" i="48"/>
  <c r="D65" i="48" s="1"/>
  <c r="E65" i="48" s="1"/>
  <c r="F65" i="48" s="1"/>
  <c r="G65" i="48" s="1"/>
  <c r="H65" i="48" s="1"/>
  <c r="C66" i="48"/>
  <c r="D66" i="48" s="1"/>
  <c r="E66" i="48" s="1"/>
  <c r="F66" i="48" s="1"/>
  <c r="G66" i="48" s="1"/>
  <c r="H66" i="48" s="1"/>
  <c r="C67" i="48"/>
  <c r="D67" i="48" s="1"/>
  <c r="E67" i="48" s="1"/>
  <c r="F67" i="48" s="1"/>
  <c r="G67" i="48" s="1"/>
  <c r="H67" i="48" s="1"/>
  <c r="C68" i="48"/>
  <c r="C69" i="48"/>
  <c r="C54" i="48"/>
  <c r="E99" i="48"/>
  <c r="H99" i="48"/>
  <c r="G99" i="48"/>
  <c r="F99" i="48"/>
  <c r="D69" i="48"/>
  <c r="E69" i="48" s="1"/>
  <c r="F69" i="48" s="1"/>
  <c r="G69" i="48" s="1"/>
  <c r="H69" i="48" s="1"/>
  <c r="D68" i="48"/>
  <c r="E68" i="48" s="1"/>
  <c r="F68" i="48" s="1"/>
  <c r="G68" i="48" s="1"/>
  <c r="H68" i="48" s="1"/>
  <c r="H32" i="49"/>
  <c r="H31" i="49"/>
  <c r="G152" i="45" l="1"/>
  <c r="B34" i="46"/>
  <c r="L35" i="46" l="1"/>
  <c r="D206" i="45" l="1"/>
  <c r="D198" i="45"/>
  <c r="D190" i="45"/>
  <c r="D182" i="45"/>
  <c r="D174" i="45"/>
  <c r="D166" i="45"/>
  <c r="D158" i="45"/>
  <c r="M89" i="46" l="1"/>
  <c r="N89" i="46"/>
  <c r="O89" i="46"/>
  <c r="P89" i="46"/>
  <c r="L89" i="46"/>
  <c r="M80" i="46"/>
  <c r="N80" i="46"/>
  <c r="O80" i="46"/>
  <c r="P80" i="46"/>
  <c r="L80" i="46"/>
  <c r="M71" i="46"/>
  <c r="N71" i="46"/>
  <c r="O71" i="46"/>
  <c r="P71" i="46"/>
  <c r="L71" i="46"/>
  <c r="M62" i="46"/>
  <c r="N62" i="46"/>
  <c r="O62" i="46"/>
  <c r="P62" i="46"/>
  <c r="L62" i="46"/>
  <c r="P53" i="46"/>
  <c r="O53" i="46"/>
  <c r="N53" i="46"/>
  <c r="M53" i="46"/>
  <c r="L53" i="46"/>
  <c r="P44" i="46"/>
  <c r="O44" i="46"/>
  <c r="N44" i="46"/>
  <c r="M44" i="46"/>
  <c r="M35" i="46"/>
  <c r="N35" i="46"/>
  <c r="O35" i="46"/>
  <c r="P35" i="46"/>
  <c r="L44" i="46"/>
  <c r="B118" i="48" l="1"/>
  <c r="D116" i="48"/>
  <c r="B88" i="46"/>
  <c r="A88" i="46" s="1"/>
  <c r="A87" i="46"/>
  <c r="D58" i="48"/>
  <c r="E58" i="48" s="1"/>
  <c r="F58" i="48" s="1"/>
  <c r="G58" i="48" s="1"/>
  <c r="H58" i="48" s="1"/>
  <c r="D119" i="48"/>
  <c r="E119" i="48" s="1"/>
  <c r="F119" i="48" s="1"/>
  <c r="G119" i="48" s="1"/>
  <c r="H119" i="48" s="1"/>
  <c r="L36" i="46" l="1"/>
  <c r="L45" i="46"/>
  <c r="L88" i="46"/>
  <c r="L91" i="46" s="1"/>
  <c r="O88" i="46"/>
  <c r="O91" i="46" s="1"/>
  <c r="N88" i="46"/>
  <c r="N91" i="46" s="1"/>
  <c r="M88" i="46"/>
  <c r="M91" i="46" s="1"/>
  <c r="P88" i="46"/>
  <c r="P91" i="46" s="1"/>
  <c r="B120" i="48"/>
  <c r="E116" i="48"/>
  <c r="C120" i="48"/>
  <c r="D117" i="48"/>
  <c r="E117" i="48" s="1"/>
  <c r="F117" i="48" s="1"/>
  <c r="G117" i="48" s="1"/>
  <c r="H117" i="48" s="1"/>
  <c r="Q90" i="46"/>
  <c r="Q89" i="46"/>
  <c r="Q87" i="46"/>
  <c r="D118" i="48" l="1"/>
  <c r="N45" i="46" s="1"/>
  <c r="F116" i="48"/>
  <c r="E118" i="48"/>
  <c r="Q88" i="46"/>
  <c r="Q91" i="46" s="1"/>
  <c r="A89" i="46"/>
  <c r="L78" i="45"/>
  <c r="G116" i="48" l="1"/>
  <c r="F118" i="48"/>
  <c r="D120" i="48"/>
  <c r="H116" i="48" l="1"/>
  <c r="H118" i="48" s="1"/>
  <c r="G118" i="48"/>
  <c r="E120" i="48"/>
  <c r="D57" i="48"/>
  <c r="E57" i="48" s="1"/>
  <c r="F57" i="48" s="1"/>
  <c r="G57" i="48" s="1"/>
  <c r="H57" i="48" s="1"/>
  <c r="D56" i="48"/>
  <c r="E56" i="48" s="1"/>
  <c r="F56" i="48" s="1"/>
  <c r="G56" i="48" s="1"/>
  <c r="H56" i="48" s="1"/>
  <c r="D55" i="48"/>
  <c r="D54" i="48"/>
  <c r="E54" i="48" s="1"/>
  <c r="F54" i="48" s="1"/>
  <c r="G54" i="48" s="1"/>
  <c r="H54" i="48" s="1"/>
  <c r="E55" i="48" l="1"/>
  <c r="F55" i="48" s="1"/>
  <c r="G55" i="48" s="1"/>
  <c r="H55" i="48" s="1"/>
  <c r="F120" i="48"/>
  <c r="H120" i="48" l="1"/>
  <c r="G120" i="48"/>
  <c r="K152" i="45" l="1"/>
  <c r="J152" i="45"/>
  <c r="I152" i="45"/>
  <c r="H152" i="45"/>
  <c r="A28" i="45" l="1"/>
  <c r="A27" i="45"/>
  <c r="A25" i="45"/>
  <c r="A24" i="45"/>
  <c r="A22" i="45"/>
  <c r="A21" i="45"/>
  <c r="A42" i="46"/>
  <c r="A37" i="45" s="1"/>
  <c r="A33" i="46"/>
  <c r="A32" i="45" s="1"/>
  <c r="A78" i="46" l="1"/>
  <c r="A57" i="45" s="1"/>
  <c r="A60" i="46"/>
  <c r="A47" i="45" s="1"/>
  <c r="A69" i="46"/>
  <c r="A52" i="45" s="1"/>
  <c r="A51" i="46"/>
  <c r="A42" i="45" s="1"/>
  <c r="A17" i="46"/>
  <c r="A27" i="46"/>
  <c r="A12" i="46"/>
  <c r="A18" i="45" s="1"/>
  <c r="A7" i="46"/>
  <c r="A15" i="45" s="1"/>
  <c r="A22" i="46"/>
  <c r="J24" i="45"/>
  <c r="I24" i="45"/>
  <c r="F25" i="45"/>
  <c r="F24" i="45"/>
  <c r="B24" i="45"/>
  <c r="H21" i="45"/>
  <c r="F22" i="45"/>
  <c r="F21" i="45"/>
  <c r="B21" i="45"/>
  <c r="B18" i="45"/>
  <c r="B23" i="46"/>
  <c r="B18" i="46"/>
  <c r="A18" i="46" l="1"/>
  <c r="L18" i="46"/>
  <c r="L19" i="46" s="1"/>
  <c r="A23" i="46"/>
  <c r="L23" i="46"/>
  <c r="L24" i="46" s="1"/>
  <c r="H24" i="45"/>
  <c r="K24" i="45"/>
  <c r="G24" i="45"/>
  <c r="G21" i="45"/>
  <c r="I21" i="45"/>
  <c r="J21" i="45"/>
  <c r="K21" i="45"/>
  <c r="Q22" i="46"/>
  <c r="Q17" i="46"/>
  <c r="L24" i="45" l="1"/>
  <c r="L21" i="45"/>
  <c r="B27" i="45" l="1"/>
  <c r="K208" i="45" l="1"/>
  <c r="L208" i="45" s="1"/>
  <c r="J208" i="45"/>
  <c r="I208" i="45"/>
  <c r="H208" i="45"/>
  <c r="G208" i="45"/>
  <c r="G209" i="45" s="1"/>
  <c r="K207" i="45"/>
  <c r="J207" i="45"/>
  <c r="I207" i="45"/>
  <c r="H207" i="45"/>
  <c r="K200" i="45"/>
  <c r="L200" i="45" s="1"/>
  <c r="J200" i="45"/>
  <c r="I200" i="45"/>
  <c r="H200" i="45"/>
  <c r="H201" i="45" s="1"/>
  <c r="K199" i="45"/>
  <c r="J199" i="45"/>
  <c r="I199" i="45"/>
  <c r="H199" i="45"/>
  <c r="K192" i="45"/>
  <c r="L192" i="45" s="1"/>
  <c r="J192" i="45"/>
  <c r="I192" i="45"/>
  <c r="H192" i="45"/>
  <c r="K191" i="45"/>
  <c r="J191" i="45"/>
  <c r="I191" i="45"/>
  <c r="H191" i="45"/>
  <c r="K184" i="45"/>
  <c r="L184" i="45" s="1"/>
  <c r="J184" i="45"/>
  <c r="I184" i="45"/>
  <c r="H184" i="45"/>
  <c r="H185" i="45" s="1"/>
  <c r="K183" i="45"/>
  <c r="J183" i="45"/>
  <c r="I183" i="45"/>
  <c r="H183" i="45"/>
  <c r="K176" i="45"/>
  <c r="L176" i="45" s="1"/>
  <c r="J176" i="45"/>
  <c r="I176" i="45"/>
  <c r="H176" i="45"/>
  <c r="K175" i="45"/>
  <c r="J175" i="45"/>
  <c r="I175" i="45"/>
  <c r="H175" i="45"/>
  <c r="G200" i="45"/>
  <c r="G201" i="45" s="1"/>
  <c r="G192" i="45"/>
  <c r="G193" i="45" s="1"/>
  <c r="G184" i="45"/>
  <c r="G185" i="45" s="1"/>
  <c r="G176" i="45"/>
  <c r="G177" i="45" s="1"/>
  <c r="G207" i="45"/>
  <c r="G199" i="45"/>
  <c r="G191" i="45"/>
  <c r="G183" i="45"/>
  <c r="G175" i="45"/>
  <c r="F206" i="45"/>
  <c r="F198" i="45"/>
  <c r="F190" i="45"/>
  <c r="F182" i="45"/>
  <c r="F174" i="45"/>
  <c r="F158" i="45"/>
  <c r="K112" i="45"/>
  <c r="J112" i="45"/>
  <c r="I112" i="45"/>
  <c r="H112" i="45"/>
  <c r="G112" i="45"/>
  <c r="L111" i="45"/>
  <c r="L110" i="45"/>
  <c r="L109" i="45"/>
  <c r="L108" i="45"/>
  <c r="L107" i="45"/>
  <c r="L106" i="45"/>
  <c r="L105" i="45"/>
  <c r="H209" i="45" l="1"/>
  <c r="H210" i="45" s="1"/>
  <c r="I209" i="45"/>
  <c r="J209" i="45"/>
  <c r="I201" i="45"/>
  <c r="I202" i="45" s="1"/>
  <c r="H193" i="45"/>
  <c r="H194" i="45" s="1"/>
  <c r="I185" i="45"/>
  <c r="J185" i="45" s="1"/>
  <c r="H177" i="45"/>
  <c r="L112" i="45"/>
  <c r="G210" i="45"/>
  <c r="G202" i="45"/>
  <c r="H202" i="45"/>
  <c r="G194" i="45"/>
  <c r="G186" i="45"/>
  <c r="H186" i="45"/>
  <c r="G178" i="45"/>
  <c r="F58" i="45"/>
  <c r="F59" i="45"/>
  <c r="F60" i="45"/>
  <c r="F57" i="45"/>
  <c r="B58" i="45"/>
  <c r="B57" i="45"/>
  <c r="K60" i="45"/>
  <c r="J60" i="45"/>
  <c r="I60" i="45"/>
  <c r="H60" i="45"/>
  <c r="K59" i="45"/>
  <c r="J59" i="45"/>
  <c r="I59" i="45"/>
  <c r="H59" i="45"/>
  <c r="G59" i="45"/>
  <c r="B79" i="46"/>
  <c r="A79" i="46" s="1"/>
  <c r="K57" i="45"/>
  <c r="J57" i="45"/>
  <c r="I57" i="45"/>
  <c r="G57" i="45"/>
  <c r="F53" i="45"/>
  <c r="F54" i="45"/>
  <c r="F55" i="45"/>
  <c r="F52" i="45"/>
  <c r="B53" i="45"/>
  <c r="B52" i="45"/>
  <c r="H55" i="45"/>
  <c r="I55" i="45"/>
  <c r="J55" i="45"/>
  <c r="K55" i="45"/>
  <c r="G55" i="45"/>
  <c r="H52" i="45"/>
  <c r="J52" i="45"/>
  <c r="K52" i="45"/>
  <c r="G52" i="45"/>
  <c r="B70" i="46"/>
  <c r="L70" i="46" s="1"/>
  <c r="L73" i="46" s="1"/>
  <c r="A58" i="45" l="1"/>
  <c r="L79" i="46"/>
  <c r="L82" i="46" s="1"/>
  <c r="I54" i="45"/>
  <c r="J54" i="45"/>
  <c r="K54" i="45"/>
  <c r="G54" i="45"/>
  <c r="H54" i="45"/>
  <c r="A70" i="46"/>
  <c r="A53" i="45" s="1"/>
  <c r="J210" i="45"/>
  <c r="I210" i="45"/>
  <c r="J186" i="45"/>
  <c r="K209" i="45"/>
  <c r="K210" i="45" s="1"/>
  <c r="J201" i="45"/>
  <c r="K201" i="45" s="1"/>
  <c r="I186" i="45"/>
  <c r="I193" i="45"/>
  <c r="K185" i="45"/>
  <c r="K186" i="45" s="1"/>
  <c r="H178" i="45"/>
  <c r="I177" i="45"/>
  <c r="I178" i="45" s="1"/>
  <c r="L199" i="45"/>
  <c r="I52" i="45"/>
  <c r="L52" i="45" s="1"/>
  <c r="Q81" i="46"/>
  <c r="Q78" i="46"/>
  <c r="L59" i="45"/>
  <c r="G60" i="45"/>
  <c r="L60" i="45" s="1"/>
  <c r="Q80" i="46"/>
  <c r="H57" i="45"/>
  <c r="L57" i="45" s="1"/>
  <c r="L55" i="45"/>
  <c r="Q72" i="46"/>
  <c r="Q69" i="46"/>
  <c r="I203" i="45"/>
  <c r="H195" i="45"/>
  <c r="H203" i="45"/>
  <c r="G187" i="45"/>
  <c r="L207" i="45"/>
  <c r="L191" i="45"/>
  <c r="L183" i="45"/>
  <c r="L175" i="45"/>
  <c r="C18" i="49"/>
  <c r="D18" i="49"/>
  <c r="E18" i="49"/>
  <c r="F18" i="49"/>
  <c r="B18" i="49"/>
  <c r="C10" i="49"/>
  <c r="D10" i="49"/>
  <c r="E10" i="49"/>
  <c r="F10" i="49"/>
  <c r="B10" i="49"/>
  <c r="A80" i="46" l="1"/>
  <c r="J202" i="45"/>
  <c r="J203" i="45" s="1"/>
  <c r="K202" i="45"/>
  <c r="I194" i="45"/>
  <c r="J193" i="45"/>
  <c r="K193" i="45" s="1"/>
  <c r="J177" i="45"/>
  <c r="L54" i="45"/>
  <c r="Q71" i="46"/>
  <c r="A71" i="46" s="1"/>
  <c r="H211" i="45"/>
  <c r="I211" i="45"/>
  <c r="J211" i="45"/>
  <c r="L209" i="45"/>
  <c r="H187" i="45"/>
  <c r="H179" i="45"/>
  <c r="I179" i="45"/>
  <c r="G203" i="45"/>
  <c r="G211" i="45"/>
  <c r="G195" i="45"/>
  <c r="G179" i="45"/>
  <c r="G18" i="49"/>
  <c r="G15" i="49"/>
  <c r="J194" i="45" l="1"/>
  <c r="K177" i="45"/>
  <c r="K178" i="45" s="1"/>
  <c r="J178" i="45"/>
  <c r="K194" i="45"/>
  <c r="J179" i="45"/>
  <c r="K211" i="45"/>
  <c r="L201" i="45"/>
  <c r="I195" i="45"/>
  <c r="I187" i="45"/>
  <c r="L202" i="45"/>
  <c r="L177" i="45"/>
  <c r="G10" i="49"/>
  <c r="K179" i="45" l="1"/>
  <c r="L210" i="45"/>
  <c r="L211" i="45" s="1"/>
  <c r="L203" i="45"/>
  <c r="J195" i="45"/>
  <c r="L193" i="45"/>
  <c r="L185" i="45"/>
  <c r="K203" i="45"/>
  <c r="L178" i="45" l="1"/>
  <c r="L179" i="45" s="1"/>
  <c r="L194" i="45"/>
  <c r="L195" i="45" s="1"/>
  <c r="L186" i="45"/>
  <c r="L187" i="45" s="1"/>
  <c r="J187" i="45"/>
  <c r="K195" i="45" l="1"/>
  <c r="K187" i="45"/>
  <c r="K167" i="45" l="1"/>
  <c r="J167" i="45"/>
  <c r="I167" i="45"/>
  <c r="H167" i="45"/>
  <c r="K168" i="45"/>
  <c r="L168" i="45" s="1"/>
  <c r="J168" i="45"/>
  <c r="I168" i="45"/>
  <c r="H168" i="45"/>
  <c r="H169" i="45" s="1"/>
  <c r="G168" i="45"/>
  <c r="G169" i="45" s="1"/>
  <c r="G167" i="45"/>
  <c r="K160" i="45"/>
  <c r="L160" i="45" s="1"/>
  <c r="J160" i="45"/>
  <c r="I160" i="45"/>
  <c r="H160" i="45"/>
  <c r="G160" i="45"/>
  <c r="G161" i="45" s="1"/>
  <c r="H159" i="45"/>
  <c r="I159" i="45"/>
  <c r="J159" i="45"/>
  <c r="K159" i="45"/>
  <c r="G159" i="45"/>
  <c r="F166" i="45"/>
  <c r="F28" i="45"/>
  <c r="F27" i="45"/>
  <c r="F19" i="45"/>
  <c r="F18" i="45"/>
  <c r="F16" i="45"/>
  <c r="F15" i="45"/>
  <c r="B15" i="45"/>
  <c r="I169" i="45" l="1"/>
  <c r="J169" i="45" s="1"/>
  <c r="K169" i="45" s="1"/>
  <c r="G170" i="45"/>
  <c r="L159" i="45"/>
  <c r="L167" i="45"/>
  <c r="H161" i="45"/>
  <c r="I161" i="45" s="1"/>
  <c r="H170" i="45"/>
  <c r="H171" i="45" s="1"/>
  <c r="G162" i="45"/>
  <c r="G163" i="45" s="1"/>
  <c r="K27" i="45"/>
  <c r="J27" i="45"/>
  <c r="I27" i="45"/>
  <c r="H27" i="45"/>
  <c r="G27" i="45"/>
  <c r="B28" i="46"/>
  <c r="O28" i="46" s="1"/>
  <c r="O29" i="46" s="1"/>
  <c r="H18" i="45"/>
  <c r="K18" i="45"/>
  <c r="J18" i="45"/>
  <c r="I18" i="45"/>
  <c r="G18" i="45"/>
  <c r="B13" i="46"/>
  <c r="A13" i="46" s="1"/>
  <c r="A19" i="45" s="1"/>
  <c r="K15" i="45"/>
  <c r="J15" i="45"/>
  <c r="I15" i="45"/>
  <c r="H15" i="45"/>
  <c r="G15" i="45"/>
  <c r="B8" i="46"/>
  <c r="A8" i="46" s="1"/>
  <c r="A16" i="45" s="1"/>
  <c r="A28" i="46" l="1"/>
  <c r="L28" i="46"/>
  <c r="L29" i="46" s="1"/>
  <c r="C2" i="49"/>
  <c r="F2" i="49"/>
  <c r="D2" i="49"/>
  <c r="B2" i="49"/>
  <c r="E2" i="49"/>
  <c r="J170" i="45"/>
  <c r="J171" i="45" s="1"/>
  <c r="I170" i="45"/>
  <c r="I171" i="45" s="1"/>
  <c r="K170" i="45"/>
  <c r="K171" i="45" s="1"/>
  <c r="L27" i="45"/>
  <c r="L169" i="45"/>
  <c r="I162" i="45"/>
  <c r="I163" i="45" s="1"/>
  <c r="H162" i="45"/>
  <c r="H163" i="45" s="1"/>
  <c r="J161" i="45"/>
  <c r="K161" i="45" s="1"/>
  <c r="G171" i="45"/>
  <c r="L18" i="45"/>
  <c r="L15" i="45"/>
  <c r="Q27" i="46"/>
  <c r="Q12" i="46"/>
  <c r="F48" i="45"/>
  <c r="F49" i="45"/>
  <c r="F50" i="45"/>
  <c r="F47" i="45"/>
  <c r="B48" i="45"/>
  <c r="B47" i="45"/>
  <c r="F43" i="45"/>
  <c r="F44" i="45"/>
  <c r="F45" i="45"/>
  <c r="F42" i="45"/>
  <c r="B43" i="45"/>
  <c r="B42" i="45"/>
  <c r="F38" i="45"/>
  <c r="F39" i="45"/>
  <c r="F40" i="45"/>
  <c r="F37" i="45"/>
  <c r="B38" i="45"/>
  <c r="B37" i="45"/>
  <c r="F33" i="45"/>
  <c r="F34" i="45"/>
  <c r="F35" i="45"/>
  <c r="F32" i="45"/>
  <c r="B33" i="45"/>
  <c r="B32" i="45"/>
  <c r="D96" i="48"/>
  <c r="D95" i="48"/>
  <c r="E95" i="48" s="1"/>
  <c r="F95" i="48" s="1"/>
  <c r="D98" i="48"/>
  <c r="E98" i="48" s="1"/>
  <c r="F98" i="48" s="1"/>
  <c r="D97" i="48"/>
  <c r="E97" i="48" s="1"/>
  <c r="F97" i="48" s="1"/>
  <c r="E96" i="48" l="1"/>
  <c r="F96" i="48" s="1"/>
  <c r="L170" i="45"/>
  <c r="L171" i="45" s="1"/>
  <c r="G2" i="49"/>
  <c r="J162" i="45"/>
  <c r="J163" i="45" s="1"/>
  <c r="K162" i="45"/>
  <c r="K163" i="45" s="1"/>
  <c r="L161" i="45"/>
  <c r="K40" i="45"/>
  <c r="J40" i="45"/>
  <c r="I40" i="45"/>
  <c r="H40" i="45"/>
  <c r="K39" i="45"/>
  <c r="J39" i="45"/>
  <c r="I39" i="45"/>
  <c r="H39" i="45"/>
  <c r="G40" i="45"/>
  <c r="G39" i="45"/>
  <c r="K50" i="45"/>
  <c r="J50" i="45"/>
  <c r="I50" i="45"/>
  <c r="H50" i="45"/>
  <c r="K49" i="45"/>
  <c r="J49" i="45"/>
  <c r="I49" i="45"/>
  <c r="H49" i="45"/>
  <c r="G49" i="45"/>
  <c r="H45" i="45"/>
  <c r="I45" i="45"/>
  <c r="J45" i="45"/>
  <c r="K45" i="45"/>
  <c r="G45" i="45"/>
  <c r="G50" i="45"/>
  <c r="K47" i="45"/>
  <c r="J47" i="45"/>
  <c r="I47" i="45"/>
  <c r="H47" i="45"/>
  <c r="G47" i="45"/>
  <c r="K42" i="45"/>
  <c r="J42" i="45"/>
  <c r="I42" i="45"/>
  <c r="H42" i="45"/>
  <c r="G42" i="45"/>
  <c r="K37" i="45"/>
  <c r="J37" i="45"/>
  <c r="I37" i="45"/>
  <c r="H37" i="45"/>
  <c r="G37" i="45"/>
  <c r="G34" i="45"/>
  <c r="L162" i="45" l="1"/>
  <c r="L163" i="45" s="1"/>
  <c r="L40" i="45"/>
  <c r="L37" i="45"/>
  <c r="L45" i="45"/>
  <c r="L47" i="45"/>
  <c r="L50" i="45"/>
  <c r="L42" i="45"/>
  <c r="L49" i="45"/>
  <c r="L39" i="45"/>
  <c r="B61" i="46"/>
  <c r="Q45" i="46"/>
  <c r="B52" i="46"/>
  <c r="B43" i="46"/>
  <c r="H35" i="45"/>
  <c r="I35" i="45"/>
  <c r="J35" i="45"/>
  <c r="K35" i="45"/>
  <c r="G35" i="45"/>
  <c r="H34" i="45"/>
  <c r="I34" i="45"/>
  <c r="J34" i="45"/>
  <c r="K34" i="45"/>
  <c r="H32" i="45"/>
  <c r="H63" i="45" s="1"/>
  <c r="C4" i="49" s="1"/>
  <c r="I32" i="45"/>
  <c r="D3" i="49" s="1"/>
  <c r="J32" i="45"/>
  <c r="E3" i="49" s="1"/>
  <c r="K32" i="45"/>
  <c r="F3" i="49" s="1"/>
  <c r="Q51" i="46"/>
  <c r="Q63" i="46"/>
  <c r="Q62" i="46"/>
  <c r="Q60" i="46"/>
  <c r="Q44" i="46"/>
  <c r="Q42" i="46"/>
  <c r="G96" i="48"/>
  <c r="H96" i="48" s="1"/>
  <c r="G95" i="48"/>
  <c r="H95" i="48" s="1"/>
  <c r="G97" i="48"/>
  <c r="H97" i="48" s="1"/>
  <c r="G98" i="48"/>
  <c r="H98" i="48" s="1"/>
  <c r="A9" i="48"/>
  <c r="Q215" i="46"/>
  <c r="A215" i="46"/>
  <c r="A214" i="46"/>
  <c r="H211" i="46"/>
  <c r="I211" i="46" s="1"/>
  <c r="K211" i="46" s="1"/>
  <c r="M211" i="46" s="1"/>
  <c r="M216" i="46" s="1"/>
  <c r="Q210" i="46"/>
  <c r="A210" i="46"/>
  <c r="Q209" i="46"/>
  <c r="A209" i="46"/>
  <c r="A207" i="46"/>
  <c r="H206" i="46"/>
  <c r="I206" i="46" s="1"/>
  <c r="K206" i="46" s="1"/>
  <c r="H205" i="46"/>
  <c r="H209" i="46" s="1"/>
  <c r="H214" i="46" s="1"/>
  <c r="G121" i="45"/>
  <c r="L114" i="45"/>
  <c r="K102" i="45"/>
  <c r="J102" i="45"/>
  <c r="I102" i="45"/>
  <c r="D22" i="49" s="1"/>
  <c r="H102" i="45"/>
  <c r="G102" i="45"/>
  <c r="L101" i="45"/>
  <c r="L100" i="45"/>
  <c r="G96" i="45"/>
  <c r="B14" i="49" s="1"/>
  <c r="G86" i="45"/>
  <c r="B20" i="49" s="1"/>
  <c r="L85" i="45"/>
  <c r="L82" i="45"/>
  <c r="J80" i="45"/>
  <c r="E12" i="49" s="1"/>
  <c r="I80" i="45"/>
  <c r="D12" i="49" s="1"/>
  <c r="H80" i="45"/>
  <c r="C12" i="49" s="1"/>
  <c r="G80" i="45"/>
  <c r="B12" i="49" s="1"/>
  <c r="L79" i="45"/>
  <c r="G76" i="45"/>
  <c r="B16" i="49" s="1"/>
  <c r="L73" i="45"/>
  <c r="K71" i="45"/>
  <c r="J71" i="45"/>
  <c r="I71" i="45"/>
  <c r="H71" i="45"/>
  <c r="G71" i="45"/>
  <c r="L70" i="45"/>
  <c r="L69" i="45"/>
  <c r="L68" i="45"/>
  <c r="O67" i="45"/>
  <c r="L67" i="45"/>
  <c r="H76" i="45"/>
  <c r="C16" i="49" s="1"/>
  <c r="I76" i="45"/>
  <c r="D16" i="49" s="1"/>
  <c r="L75" i="45"/>
  <c r="J76" i="45"/>
  <c r="E16" i="49" s="1"/>
  <c r="K76" i="45"/>
  <c r="F16" i="49" s="1"/>
  <c r="L74" i="45"/>
  <c r="L43" i="46" l="1"/>
  <c r="M43" i="46"/>
  <c r="M46" i="46" s="1"/>
  <c r="A34" i="46"/>
  <c r="A33" i="45" s="1"/>
  <c r="P34" i="46"/>
  <c r="P37" i="46" s="1"/>
  <c r="N34" i="46"/>
  <c r="L34" i="46"/>
  <c r="L37" i="46" s="1"/>
  <c r="M34" i="46"/>
  <c r="O34" i="46"/>
  <c r="A43" i="46"/>
  <c r="A38" i="45" s="1"/>
  <c r="A52" i="46"/>
  <c r="A43" i="45" s="1"/>
  <c r="L52" i="46"/>
  <c r="A61" i="46"/>
  <c r="A48" i="45" s="1"/>
  <c r="L61" i="46"/>
  <c r="G32" i="45"/>
  <c r="L32" i="45" s="1"/>
  <c r="K63" i="45"/>
  <c r="F4" i="49" s="1"/>
  <c r="J63" i="45"/>
  <c r="E4" i="49" s="1"/>
  <c r="I63" i="45"/>
  <c r="D4" i="49" s="1"/>
  <c r="C3" i="49"/>
  <c r="A62" i="46"/>
  <c r="B24" i="49"/>
  <c r="A44" i="46"/>
  <c r="G25" i="45"/>
  <c r="G22" i="45"/>
  <c r="G53" i="45"/>
  <c r="G28" i="45"/>
  <c r="L13" i="46"/>
  <c r="L8" i="46"/>
  <c r="P18" i="46"/>
  <c r="P19" i="46" s="1"/>
  <c r="P23" i="46"/>
  <c r="P24" i="46" s="1"/>
  <c r="P79" i="46"/>
  <c r="P82" i="46" s="1"/>
  <c r="P70" i="46"/>
  <c r="P73" i="46" s="1"/>
  <c r="P28" i="46"/>
  <c r="P29" i="46" s="1"/>
  <c r="P8" i="46"/>
  <c r="P9" i="46" s="1"/>
  <c r="P13" i="46"/>
  <c r="P14" i="46" s="1"/>
  <c r="O18" i="46"/>
  <c r="O23" i="46"/>
  <c r="O79" i="46"/>
  <c r="O70" i="46"/>
  <c r="J28" i="45"/>
  <c r="O13" i="46"/>
  <c r="O8" i="46"/>
  <c r="N23" i="46"/>
  <c r="N18" i="46"/>
  <c r="N79" i="46"/>
  <c r="N70" i="46"/>
  <c r="N13" i="46"/>
  <c r="N28" i="46"/>
  <c r="N8" i="46"/>
  <c r="M18" i="46"/>
  <c r="M23" i="46"/>
  <c r="M70" i="46"/>
  <c r="M79" i="46"/>
  <c r="M13" i="46"/>
  <c r="M28" i="46"/>
  <c r="M8" i="46"/>
  <c r="P43" i="46"/>
  <c r="P46" i="46" s="1"/>
  <c r="N43" i="46"/>
  <c r="O43" i="46"/>
  <c r="O61" i="46"/>
  <c r="O64" i="46" s="1"/>
  <c r="P61" i="46"/>
  <c r="P64" i="46" s="1"/>
  <c r="N61" i="46"/>
  <c r="M61" i="46"/>
  <c r="N52" i="46"/>
  <c r="O52" i="46"/>
  <c r="O55" i="46" s="1"/>
  <c r="P52" i="46"/>
  <c r="P55" i="46" s="1"/>
  <c r="M52" i="46"/>
  <c r="F22" i="49"/>
  <c r="B22" i="49"/>
  <c r="E22" i="49"/>
  <c r="C22" i="49"/>
  <c r="G16" i="49"/>
  <c r="A212" i="46"/>
  <c r="H207" i="46"/>
  <c r="I205" i="46"/>
  <c r="K205" i="46" s="1"/>
  <c r="M205" i="46" s="1"/>
  <c r="O205" i="46" s="1"/>
  <c r="P205" i="46" s="1"/>
  <c r="O211" i="46"/>
  <c r="P211" i="46" s="1"/>
  <c r="P216" i="46" s="1"/>
  <c r="I121" i="45"/>
  <c r="D24" i="49" s="1"/>
  <c r="L118" i="45"/>
  <c r="M206" i="46"/>
  <c r="I209" i="46"/>
  <c r="I214" i="46" s="1"/>
  <c r="H210" i="46"/>
  <c r="K216" i="46"/>
  <c r="A217" i="46"/>
  <c r="L102" i="45"/>
  <c r="L34" i="45"/>
  <c r="L35" i="45"/>
  <c r="O70" i="45"/>
  <c r="O71" i="45"/>
  <c r="O69" i="45"/>
  <c r="O72" i="45"/>
  <c r="O73" i="45"/>
  <c r="H86" i="45"/>
  <c r="C20" i="49" s="1"/>
  <c r="K80" i="45"/>
  <c r="K86" i="45"/>
  <c r="F20" i="49" s="1"/>
  <c r="I86" i="45"/>
  <c r="D20" i="49" s="1"/>
  <c r="H44" i="45"/>
  <c r="H66" i="45" s="1"/>
  <c r="G44" i="45"/>
  <c r="G66" i="45" s="1"/>
  <c r="I44" i="45"/>
  <c r="I66" i="45" s="1"/>
  <c r="J44" i="45"/>
  <c r="K44" i="45"/>
  <c r="Q54" i="46"/>
  <c r="Q35" i="46"/>
  <c r="Q36" i="46"/>
  <c r="L76" i="45"/>
  <c r="Q33" i="46"/>
  <c r="L120" i="45"/>
  <c r="L71" i="45"/>
  <c r="H96" i="45"/>
  <c r="C14" i="49" s="1"/>
  <c r="L119" i="45"/>
  <c r="H121" i="45"/>
  <c r="C24" i="49" s="1"/>
  <c r="H43" i="45" l="1"/>
  <c r="M55" i="46"/>
  <c r="I43" i="45"/>
  <c r="N55" i="46"/>
  <c r="H48" i="45"/>
  <c r="M64" i="46"/>
  <c r="I48" i="45"/>
  <c r="N64" i="46"/>
  <c r="J38" i="45"/>
  <c r="O46" i="46"/>
  <c r="I38" i="45"/>
  <c r="N46" i="46"/>
  <c r="H38" i="45"/>
  <c r="H28" i="45"/>
  <c r="M29" i="46"/>
  <c r="H19" i="45"/>
  <c r="M14" i="46"/>
  <c r="H58" i="45"/>
  <c r="M82" i="46"/>
  <c r="H53" i="45"/>
  <c r="M73" i="46"/>
  <c r="H25" i="45"/>
  <c r="M24" i="46"/>
  <c r="H22" i="45"/>
  <c r="M19" i="46"/>
  <c r="I28" i="45"/>
  <c r="N29" i="46"/>
  <c r="I19" i="45"/>
  <c r="N14" i="46"/>
  <c r="I53" i="45"/>
  <c r="N73" i="46"/>
  <c r="I58" i="45"/>
  <c r="N82" i="46"/>
  <c r="I22" i="45"/>
  <c r="N19" i="46"/>
  <c r="I25" i="45"/>
  <c r="N24" i="46"/>
  <c r="J19" i="45"/>
  <c r="O14" i="46"/>
  <c r="J53" i="45"/>
  <c r="O73" i="46"/>
  <c r="J58" i="45"/>
  <c r="O82" i="46"/>
  <c r="J25" i="45"/>
  <c r="O24" i="46"/>
  <c r="J22" i="45"/>
  <c r="O19" i="46"/>
  <c r="G19" i="45"/>
  <c r="L14" i="46"/>
  <c r="G48" i="45"/>
  <c r="L64" i="46"/>
  <c r="G43" i="45"/>
  <c r="L55" i="46"/>
  <c r="G38" i="45"/>
  <c r="L46" i="46"/>
  <c r="J33" i="45"/>
  <c r="O37" i="46"/>
  <c r="H33" i="45"/>
  <c r="M37" i="46"/>
  <c r="I33" i="45"/>
  <c r="N37" i="46"/>
  <c r="H16" i="45"/>
  <c r="M9" i="46"/>
  <c r="I16" i="45"/>
  <c r="N9" i="46"/>
  <c r="J16" i="45"/>
  <c r="O9" i="46"/>
  <c r="G16" i="45"/>
  <c r="L9" i="46"/>
  <c r="B3" i="49"/>
  <c r="G3" i="49" s="1"/>
  <c r="G63" i="45"/>
  <c r="B4" i="49" s="1"/>
  <c r="G4" i="49" s="1"/>
  <c r="K53" i="45"/>
  <c r="K58" i="45"/>
  <c r="K48" i="45"/>
  <c r="K22" i="45"/>
  <c r="K16" i="45"/>
  <c r="K28" i="45"/>
  <c r="K25" i="45"/>
  <c r="K19" i="45"/>
  <c r="G22" i="49"/>
  <c r="L80" i="45"/>
  <c r="F12" i="49"/>
  <c r="G12" i="49" s="1"/>
  <c r="O216" i="46"/>
  <c r="K207" i="46"/>
  <c r="I207" i="46"/>
  <c r="G58" i="45"/>
  <c r="K66" i="45"/>
  <c r="F8" i="49" s="1"/>
  <c r="J66" i="45"/>
  <c r="E8" i="49" s="1"/>
  <c r="K209" i="46"/>
  <c r="M209" i="46" s="1"/>
  <c r="Q7" i="46"/>
  <c r="H215" i="46"/>
  <c r="H217" i="46" s="1"/>
  <c r="I210" i="46"/>
  <c r="I212" i="46" s="1"/>
  <c r="H212" i="46"/>
  <c r="H219" i="46" s="1"/>
  <c r="H220" i="46" s="1"/>
  <c r="M207" i="46"/>
  <c r="O206" i="46"/>
  <c r="J86" i="45"/>
  <c r="E20" i="49" s="1"/>
  <c r="G20" i="49" s="1"/>
  <c r="D8" i="49"/>
  <c r="C8" i="49"/>
  <c r="L44" i="45"/>
  <c r="B8" i="49"/>
  <c r="L116" i="45"/>
  <c r="J48" i="45"/>
  <c r="J43" i="45"/>
  <c r="Q53" i="46"/>
  <c r="I96" i="45"/>
  <c r="D14" i="49" s="1"/>
  <c r="L84" i="45"/>
  <c r="L115" i="45"/>
  <c r="A53" i="46" l="1"/>
  <c r="L53" i="45"/>
  <c r="L19" i="45"/>
  <c r="L28" i="45"/>
  <c r="L25" i="45"/>
  <c r="L22" i="45"/>
  <c r="L16" i="45"/>
  <c r="H64" i="45"/>
  <c r="H65" i="45" s="1"/>
  <c r="H143" i="45" s="1"/>
  <c r="I64" i="45"/>
  <c r="D6" i="49" s="1"/>
  <c r="K214" i="46"/>
  <c r="L63" i="45"/>
  <c r="L58" i="45"/>
  <c r="Q70" i="46"/>
  <c r="Q73" i="46" s="1"/>
  <c r="Q79" i="46"/>
  <c r="Q82" i="46" s="1"/>
  <c r="Q18" i="46"/>
  <c r="Q19" i="46" s="1"/>
  <c r="Q8" i="46"/>
  <c r="Q9" i="46" s="1"/>
  <c r="J64" i="45"/>
  <c r="Q13" i="46"/>
  <c r="Q14" i="46" s="1"/>
  <c r="Q23" i="46"/>
  <c r="Q24" i="46" s="1"/>
  <c r="Q28" i="46"/>
  <c r="Q29" i="46" s="1"/>
  <c r="I219" i="46"/>
  <c r="I220" i="46" s="1"/>
  <c r="G8" i="49"/>
  <c r="L86" i="45"/>
  <c r="J121" i="45"/>
  <c r="E24" i="49" s="1"/>
  <c r="L117" i="45"/>
  <c r="I215" i="46"/>
  <c r="I217" i="46" s="1"/>
  <c r="K210" i="46"/>
  <c r="P206" i="46"/>
  <c r="P207" i="46" s="1"/>
  <c r="O207" i="46"/>
  <c r="L66" i="45"/>
  <c r="L48" i="45"/>
  <c r="Q43" i="46"/>
  <c r="Q46" i="46" s="1"/>
  <c r="K38" i="45"/>
  <c r="L38" i="45" s="1"/>
  <c r="Q52" i="46"/>
  <c r="K43" i="45"/>
  <c r="L43" i="45" s="1"/>
  <c r="K33" i="45"/>
  <c r="L92" i="45"/>
  <c r="L91" i="45"/>
  <c r="L94" i="45"/>
  <c r="Q61" i="46"/>
  <c r="Q64" i="46" s="1"/>
  <c r="O209" i="46"/>
  <c r="O214" i="46"/>
  <c r="M214" i="46"/>
  <c r="L95" i="45"/>
  <c r="J96" i="45"/>
  <c r="E14" i="49" s="1"/>
  <c r="Q55" i="46" l="1"/>
  <c r="I65" i="45"/>
  <c r="I143" i="45" s="1"/>
  <c r="I145" i="45" s="1"/>
  <c r="C6" i="49"/>
  <c r="K64" i="45"/>
  <c r="F6" i="49" s="1"/>
  <c r="H145" i="45"/>
  <c r="C7" i="49"/>
  <c r="H125" i="45"/>
  <c r="J65" i="45"/>
  <c r="E6" i="49"/>
  <c r="K121" i="45"/>
  <c r="F24" i="49" s="1"/>
  <c r="G24" i="49" s="1"/>
  <c r="L93" i="45"/>
  <c r="K215" i="46"/>
  <c r="K217" i="46" s="1"/>
  <c r="M210" i="46"/>
  <c r="K212" i="46"/>
  <c r="K96" i="45"/>
  <c r="F14" i="49" s="1"/>
  <c r="G14" i="49" s="1"/>
  <c r="P209" i="46"/>
  <c r="I125" i="45" l="1"/>
  <c r="I129" i="45" s="1"/>
  <c r="I131" i="45" s="1"/>
  <c r="D7" i="49"/>
  <c r="H129" i="45"/>
  <c r="H131" i="45" s="1"/>
  <c r="H136" i="45"/>
  <c r="H138" i="45" s="1"/>
  <c r="H139" i="45" s="1"/>
  <c r="J143" i="45"/>
  <c r="J145" i="45" s="1"/>
  <c r="H150" i="45"/>
  <c r="H153" i="45" s="1"/>
  <c r="H154" i="45" s="1"/>
  <c r="H146" i="45"/>
  <c r="C27" i="49"/>
  <c r="J125" i="45"/>
  <c r="E7" i="49"/>
  <c r="L121" i="45"/>
  <c r="K219" i="46"/>
  <c r="K220" i="46" s="1"/>
  <c r="O215" i="46"/>
  <c r="O210" i="46"/>
  <c r="M215" i="46"/>
  <c r="M217" i="46" s="1"/>
  <c r="M212" i="46"/>
  <c r="K65" i="45"/>
  <c r="P214" i="46"/>
  <c r="L96" i="45"/>
  <c r="D27" i="49" l="1"/>
  <c r="I146" i="45"/>
  <c r="I150" i="45"/>
  <c r="I153" i="45" s="1"/>
  <c r="D28" i="49" s="1"/>
  <c r="I136" i="45"/>
  <c r="I138" i="45" s="1"/>
  <c r="I139" i="45" s="1"/>
  <c r="M219" i="46"/>
  <c r="M220" i="46" s="1"/>
  <c r="C28" i="49"/>
  <c r="C29" i="49" s="1"/>
  <c r="F7" i="49"/>
  <c r="K143" i="45"/>
  <c r="K145" i="45" s="1"/>
  <c r="J129" i="45"/>
  <c r="J131" i="45" s="1"/>
  <c r="J132" i="45" s="1"/>
  <c r="J136" i="45"/>
  <c r="J138" i="45" s="1"/>
  <c r="J139" i="45" s="1"/>
  <c r="J150" i="45"/>
  <c r="J153" i="45" s="1"/>
  <c r="J154" i="45" s="1"/>
  <c r="E27" i="49"/>
  <c r="J146" i="45"/>
  <c r="K125" i="45"/>
  <c r="H132" i="45"/>
  <c r="I132" i="45"/>
  <c r="P210" i="46"/>
  <c r="P212" i="46" s="1"/>
  <c r="O212" i="46"/>
  <c r="P215" i="46"/>
  <c r="P217" i="46" s="1"/>
  <c r="O217" i="46"/>
  <c r="D29" i="49" l="1"/>
  <c r="I154" i="45"/>
  <c r="K136" i="45"/>
  <c r="K138" i="45" s="1"/>
  <c r="K129" i="45"/>
  <c r="E28" i="49"/>
  <c r="E29" i="49" s="1"/>
  <c r="K150" i="45"/>
  <c r="K153" i="45" s="1"/>
  <c r="F27" i="49"/>
  <c r="K146" i="45"/>
  <c r="O219" i="46"/>
  <c r="O220" i="46" s="1"/>
  <c r="K154" i="45" l="1"/>
  <c r="K139" i="45"/>
  <c r="K131" i="45"/>
  <c r="F28" i="49" s="1"/>
  <c r="K132" i="45" l="1"/>
  <c r="F29" i="49" l="1"/>
  <c r="Q34" i="46" l="1"/>
  <c r="Q37" i="46" s="1"/>
  <c r="G33" i="45"/>
  <c r="L33" i="45" s="1"/>
  <c r="G64" i="45" l="1"/>
  <c r="L64" i="45" s="1"/>
  <c r="G65" i="45" l="1"/>
  <c r="G143" i="45" s="1"/>
  <c r="B6" i="49"/>
  <c r="G6" i="49" s="1"/>
  <c r="G145" i="45" l="1"/>
  <c r="L145" i="45" s="1"/>
  <c r="G125" i="45"/>
  <c r="G129" i="45" s="1"/>
  <c r="B7" i="49"/>
  <c r="G7" i="49" s="1"/>
  <c r="L65" i="45"/>
  <c r="G131" i="45" l="1"/>
  <c r="L131" i="45" s="1"/>
  <c r="G150" i="45"/>
  <c r="B27" i="49"/>
  <c r="G27" i="49" s="1"/>
  <c r="L125" i="45"/>
  <c r="G136" i="45"/>
  <c r="G138" i="45" s="1"/>
  <c r="G146" i="45"/>
  <c r="L146" i="45" s="1"/>
  <c r="G132" i="45" l="1"/>
  <c r="L132" i="45" s="1"/>
  <c r="G153" i="45"/>
  <c r="G154" i="45" s="1"/>
  <c r="L154" i="45" s="1"/>
  <c r="L138" i="45"/>
  <c r="G139" i="45"/>
  <c r="L139" i="45" s="1"/>
  <c r="B28" i="49" l="1"/>
  <c r="G28" i="49" s="1"/>
  <c r="H30" i="49" l="1"/>
  <c r="H29" i="49" s="1"/>
  <c r="B29" i="49"/>
  <c r="G29" i="49" s="1"/>
  <c r="H28" i="49" s="1"/>
  <c r="L153" i="45"/>
  <c r="H34" i="4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Christine</author>
    <author>Debbie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Christine:</t>
        </r>
        <r>
          <rPr>
            <sz val="9"/>
            <color indexed="81"/>
            <rFont val="Tahoma"/>
            <family val="2"/>
          </rPr>
          <t xml:space="preserve">
Answering "Yes" will exclude UCRP SI assessments in the project.</t>
        </r>
      </text>
    </comment>
    <comment ref="H20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Debbie:</t>
        </r>
        <r>
          <rPr>
            <sz val="9"/>
            <color indexed="81"/>
            <rFont val="Tahoma"/>
            <family val="2"/>
          </rPr>
          <t xml:space="preserve">
8/23/18:  Fees from Registrar's Website &amp; confirmed by Grad Div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Christine</author>
  </authors>
  <commentList>
    <comment ref="I2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Christine:</t>
        </r>
        <r>
          <rPr>
            <sz val="9"/>
            <color indexed="81"/>
            <rFont val="Tahoma"/>
            <family val="2"/>
          </rPr>
          <t xml:space="preserve">
TFFA = Total Federal Funds Awarded</t>
        </r>
      </text>
    </comment>
    <comment ref="H3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Christine:</t>
        </r>
        <r>
          <rPr>
            <sz val="9"/>
            <color indexed="81"/>
            <rFont val="Tahoma"/>
            <family val="2"/>
          </rPr>
          <t xml:space="preserve">
Enter manually</t>
        </r>
      </text>
    </comment>
    <comment ref="H3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Christine:</t>
        </r>
        <r>
          <rPr>
            <sz val="9"/>
            <color indexed="81"/>
            <rFont val="Tahoma"/>
            <family val="2"/>
          </rPr>
          <t xml:space="preserve">
Enter manually</t>
        </r>
      </text>
    </comment>
  </commentList>
</comments>
</file>

<file path=xl/sharedStrings.xml><?xml version="1.0" encoding="utf-8"?>
<sst xmlns="http://schemas.openxmlformats.org/spreadsheetml/2006/main" count="1061" uniqueCount="324">
  <si>
    <t>SALARY BUDGET WORKSHEET</t>
  </si>
  <si>
    <t>To use the salary worksheet:
1. Complete one position per person.
2. Complete all yellow-highlighted cells
3. To name a person, replace the "NAME" or "TBD" text and it will appear on the "ProjectWrksht" tab.</t>
  </si>
  <si>
    <t>EMPLOYEE CLASSIFICATION</t>
  </si>
  <si>
    <t>Is this a Federal Proposal?</t>
  </si>
  <si>
    <t>Yes</t>
  </si>
  <si>
    <t>SENIOR/KEY PERSON</t>
  </si>
  <si>
    <t>PI, NAME</t>
  </si>
  <si>
    <t>Year 1</t>
  </si>
  <si>
    <t>Year 2</t>
  </si>
  <si>
    <t>Year 3</t>
  </si>
  <si>
    <t>Year 4</t>
  </si>
  <si>
    <t>Year 5</t>
  </si>
  <si>
    <t>Cumulative</t>
  </si>
  <si>
    <t>Faculty Summer</t>
  </si>
  <si>
    <t>Cal. Mos</t>
  </si>
  <si>
    <t>Wages</t>
  </si>
  <si>
    <t>Acad. Mos</t>
  </si>
  <si>
    <t>Benefits</t>
  </si>
  <si>
    <t>Annual Salary</t>
  </si>
  <si>
    <t>Sum. Mos</t>
  </si>
  <si>
    <t>TOTAL</t>
  </si>
  <si>
    <t>2024 NIH Salary Cap (9 mo appt)</t>
  </si>
  <si>
    <t>Co-P.I. #1, NAME</t>
  </si>
  <si>
    <t>Co-P.I. #2, NAME</t>
  </si>
  <si>
    <t>Co-P.I. #3, NAME</t>
  </si>
  <si>
    <t>Co-P.I. #4, NAME</t>
  </si>
  <si>
    <t>OTHER PERSONNEL</t>
  </si>
  <si>
    <t>Proposal Position #1, TBD</t>
  </si>
  <si>
    <t>FTE</t>
  </si>
  <si>
    <t>GSR III NEW (NO NRT) Annual @ 100% FTE</t>
  </si>
  <si>
    <t>Non-Resident GSR Fees</t>
  </si>
  <si>
    <t>CA Resident GSR Fees</t>
  </si>
  <si>
    <t>PRF</t>
  </si>
  <si>
    <t>GSHIP</t>
  </si>
  <si>
    <t>Proposal Position #2, TBD</t>
  </si>
  <si>
    <t>Proposal Position #3, TBD</t>
  </si>
  <si>
    <t>GSR I NEW (NO NRT) Annual @ 100% FTE</t>
  </si>
  <si>
    <t>Proposal Position #4, TBD</t>
  </si>
  <si>
    <t>LAB ASSISTANT II- Step 1.0, TC 9603/Non-Exempt</t>
  </si>
  <si>
    <t>Proposal Position #5, TBD</t>
  </si>
  <si>
    <t>Proposal Position #6, TBD</t>
  </si>
  <si>
    <t>LAB HELPER-TC 9606/Non-Exempt Step VII</t>
  </si>
  <si>
    <t>Proposal Position #7, TBD</t>
  </si>
  <si>
    <t xml:space="preserve">POSTGRADUATE RSCHER (12-23 mos experience) </t>
  </si>
  <si>
    <t xml:space="preserve"> GSR FEES CALCULATION</t>
  </si>
  <si>
    <t>rates from Grad Div 7/24/17</t>
  </si>
  <si>
    <t>2017-18</t>
  </si>
  <si>
    <t>School Year</t>
  </si>
  <si>
    <t>2018-19</t>
  </si>
  <si>
    <t>2019-20</t>
  </si>
  <si>
    <t>2020-21</t>
  </si>
  <si>
    <t>2021-22</t>
  </si>
  <si>
    <t>2022-23</t>
  </si>
  <si>
    <t>2023-24</t>
  </si>
  <si>
    <t>CA PFR</t>
  </si>
  <si>
    <t>escalated 8% annually</t>
  </si>
  <si>
    <t>CA GSHIP</t>
  </si>
  <si>
    <t>escalated 7% annually</t>
  </si>
  <si>
    <t xml:space="preserve">     Total CA Remissions</t>
  </si>
  <si>
    <t>Nonresident PFR</t>
  </si>
  <si>
    <t>Nonresident GSHIP</t>
  </si>
  <si>
    <t>Nonresident NRT</t>
  </si>
  <si>
    <t>escalated 8% annually for 2017-18 and beyond</t>
  </si>
  <si>
    <t xml:space="preserve">     Total Nonresident Remissions</t>
  </si>
  <si>
    <t>Nonresident Advanced to Candidacy PFR</t>
  </si>
  <si>
    <t>escalated 11% annually</t>
  </si>
  <si>
    <t>Nonresident Advanced to Candidacy GSHIP</t>
  </si>
  <si>
    <t>Nonresident Advanced to Candidacy NRT</t>
  </si>
  <si>
    <t>$0 for 9 qtrs; 100% after 9 qtrs</t>
  </si>
  <si>
    <t>GSR Fees</t>
  </si>
  <si>
    <t xml:space="preserve"> </t>
  </si>
  <si>
    <t>BMPN PROPOSAL BUDGET WORKSHEET</t>
  </si>
  <si>
    <t>First Name</t>
  </si>
  <si>
    <t>Last Name</t>
  </si>
  <si>
    <t>Start Date</t>
  </si>
  <si>
    <t>End Date</t>
  </si>
  <si>
    <t>P.I.</t>
  </si>
  <si>
    <t>Co-P.I. #1</t>
  </si>
  <si>
    <t>Prime Sponsor</t>
  </si>
  <si>
    <t>Co-P.I. #2</t>
  </si>
  <si>
    <t>Co-P.I. #3</t>
  </si>
  <si>
    <t>Subaward From:</t>
  </si>
  <si>
    <t>Co-P.I. #4</t>
  </si>
  <si>
    <t>WAGES/BENEFITS SUMMARY</t>
  </si>
  <si>
    <t>YEAR 1</t>
  </si>
  <si>
    <t>YEAR 2</t>
  </si>
  <si>
    <t>YEAR 3</t>
  </si>
  <si>
    <t>YEAR 4</t>
  </si>
  <si>
    <t>YEAR 5</t>
  </si>
  <si>
    <t>SUBTOTAL</t>
  </si>
  <si>
    <t>SENIOR PERSONNEL</t>
  </si>
  <si>
    <t>WAGES</t>
  </si>
  <si>
    <t>BENEFITS</t>
  </si>
  <si>
    <t>PERSONNEL SUBTOTAL</t>
  </si>
  <si>
    <t>BC21</t>
  </si>
  <si>
    <t>GSR FEES</t>
  </si>
  <si>
    <t>BC60</t>
  </si>
  <si>
    <t>EQUIPMENT</t>
  </si>
  <si>
    <t>a)</t>
  </si>
  <si>
    <t>b)</t>
  </si>
  <si>
    <t>c)</t>
  </si>
  <si>
    <t>d)</t>
  </si>
  <si>
    <t>BC41</t>
  </si>
  <si>
    <t>SUPPLIES</t>
  </si>
  <si>
    <t xml:space="preserve">     SUPPLIES SUBTOTAL</t>
  </si>
  <si>
    <t>BC40</t>
  </si>
  <si>
    <t>TRAVEL</t>
  </si>
  <si>
    <t>DOMESTIC</t>
  </si>
  <si>
    <t xml:space="preserve">FOREIGN </t>
  </si>
  <si>
    <t xml:space="preserve">     TRAVEL SUBTOTAL</t>
  </si>
  <si>
    <t>BC44</t>
  </si>
  <si>
    <t>PUBLICATION COSTS</t>
  </si>
  <si>
    <t>BC46</t>
  </si>
  <si>
    <t>COMPUTER (ADPE) COSTS</t>
  </si>
  <si>
    <t>BC45</t>
  </si>
  <si>
    <t>COMMUNICATION WKRS FEE</t>
  </si>
  <si>
    <t xml:space="preserve">     COMPUTER (ADPE) COSTS SUBTOTAL</t>
  </si>
  <si>
    <t>PARTICIPANT/TRAINEE SUPPORT</t>
  </si>
  <si>
    <t>Enter # of participants/yr</t>
  </si>
  <si>
    <t>TUIT/FEES/HLTH INS</t>
  </si>
  <si>
    <t>STIPEND</t>
  </si>
  <si>
    <t xml:space="preserve">TRAVEL </t>
  </si>
  <si>
    <t>SUBSISTANCE</t>
  </si>
  <si>
    <t>OTHER</t>
  </si>
  <si>
    <t>PARTICIPANT/TRAINEE SUPPORT SUBTOTAL</t>
  </si>
  <si>
    <t>SUBCONTRACTS</t>
  </si>
  <si>
    <t>BC67/68</t>
  </si>
  <si>
    <t xml:space="preserve">     UC SUBCONTRACTS</t>
  </si>
  <si>
    <t xml:space="preserve">a) </t>
  </si>
  <si>
    <t xml:space="preserve">          UC SUBK SUBTOTAL</t>
  </si>
  <si>
    <t>BC65/66</t>
  </si>
  <si>
    <t xml:space="preserve">     NON-UC SUBCONTRACTS</t>
  </si>
  <si>
    <t>e)</t>
  </si>
  <si>
    <t>f)</t>
  </si>
  <si>
    <t>g)</t>
  </si>
  <si>
    <t xml:space="preserve">          NON-UC SUBK SUBTOTAL</t>
  </si>
  <si>
    <t>BC47</t>
  </si>
  <si>
    <t xml:space="preserve">OTHER </t>
  </si>
  <si>
    <t xml:space="preserve">     OTHER SUBTOTAL</t>
  </si>
  <si>
    <t>TOTAL DIRECT COSTS</t>
  </si>
  <si>
    <t>Indirect Costs: Modified Total Direct Costs (MTDC)</t>
  </si>
  <si>
    <t>(Base excludes other UC campuses)</t>
  </si>
  <si>
    <t>IDC Base</t>
  </si>
  <si>
    <t>IDC Rate</t>
  </si>
  <si>
    <t>TOTAL IDC</t>
  </si>
  <si>
    <t>TOTAL REQUEST</t>
  </si>
  <si>
    <t>Indirect Costs: Total Direct Costs (TIDC)</t>
  </si>
  <si>
    <t>Indirect Costs: WAGES &amp; BENEFITS ONLY</t>
  </si>
  <si>
    <t>Indirect Costs: Total Cost (TC)</t>
  </si>
  <si>
    <t>TC  IDC Rate</t>
  </si>
  <si>
    <t>Calculated TDC</t>
  </si>
  <si>
    <r>
      <t xml:space="preserve">TOTAL REQUEST </t>
    </r>
    <r>
      <rPr>
        <sz val="10"/>
        <rFont val="Book Antiqua"/>
        <family val="1"/>
      </rPr>
      <t>(W/UC SUBCONTRACTS)</t>
    </r>
  </si>
  <si>
    <t>NON-UC SUBK CALCULATION</t>
  </si>
  <si>
    <t>Annual Total</t>
  </si>
  <si>
    <t>Cum Total</t>
  </si>
  <si>
    <t>Amt to be included</t>
  </si>
  <si>
    <t>Amt to be excluded</t>
  </si>
  <si>
    <t>Doublecheck Amt of subk</t>
  </si>
  <si>
    <t>CUMULATIVE</t>
  </si>
  <si>
    <t>WAGE SUBTOTAL</t>
  </si>
  <si>
    <t>PERSONNEL TOTAL</t>
  </si>
  <si>
    <t>TUITION</t>
  </si>
  <si>
    <t>PARTICIPANT COSTS</t>
  </si>
  <si>
    <t>COMPUTER</t>
  </si>
  <si>
    <t>SUBAWARDS</t>
  </si>
  <si>
    <t>This chart only works with TC &amp; MTDC IDC rates</t>
  </si>
  <si>
    <t>USDA 30% TFFA Restriction</t>
  </si>
  <si>
    <t>TOTAL DIRECT/INDIRECT</t>
  </si>
  <si>
    <t>TFFA IDC Request</t>
  </si>
  <si>
    <t>UCR IDC Request</t>
  </si>
  <si>
    <t>1. UC Subawards IDC Request</t>
  </si>
  <si>
    <t>2. Subawards IDC Request</t>
  </si>
  <si>
    <t>IDC Adj Needed? (negative # = needs to reduce)/Under (positive # or 0 = okay)</t>
  </si>
  <si>
    <t>Year</t>
  </si>
  <si>
    <t>password:</t>
  </si>
  <si>
    <t>budget</t>
  </si>
  <si>
    <t>2025-2026</t>
  </si>
  <si>
    <t>2026-2027</t>
  </si>
  <si>
    <t>No</t>
  </si>
  <si>
    <t>2027-2028</t>
  </si>
  <si>
    <t>2028-2029</t>
  </si>
  <si>
    <t>2029-2030</t>
  </si>
  <si>
    <t>2030-2031</t>
  </si>
  <si>
    <t>2031-2032</t>
  </si>
  <si>
    <t>2032-2033</t>
  </si>
  <si>
    <t>Updated for new FY25 Table</t>
  </si>
  <si>
    <t>Updated for FY25 as of 7/01/24</t>
  </si>
  <si>
    <t>Employee Position Title</t>
  </si>
  <si>
    <t>Benefit Type</t>
  </si>
  <si>
    <t>BC</t>
  </si>
  <si>
    <t>Salary table</t>
  </si>
  <si>
    <t>https://www.ucop.edu/academic-personnel-programs/compensation/</t>
  </si>
  <si>
    <t>Assistant Project Scientist I (Fiscal Year/Represented) Max 2 yrs</t>
  </si>
  <si>
    <t>Other Academic</t>
  </si>
  <si>
    <t>BC14</t>
  </si>
  <si>
    <t>37B</t>
  </si>
  <si>
    <t>yes</t>
  </si>
  <si>
    <t>Assistant Project Scientist II (Fiscal Year/Represented) Max 2 yrs</t>
  </si>
  <si>
    <t>Assistant Project Scientist III (Fiscal Year/Represented) Max 2 yrs</t>
  </si>
  <si>
    <t>Assistant Project Scientist IV (Fiscal Year/Represented) Max 2 years</t>
  </si>
  <si>
    <t>Assistant Project Scientist V (Fiscal Year/Represented) Max 2 years</t>
  </si>
  <si>
    <t>Assistant Project Scientist VI (Fiscal Year/Represented) Max 2 years</t>
  </si>
  <si>
    <t>Assistant Researcher I (Fiscal Year)</t>
  </si>
  <si>
    <t>13A</t>
  </si>
  <si>
    <t>Assistant Researcher II (Fiscal Year)</t>
  </si>
  <si>
    <t>Assistant Researcher III (Fiscal Year)</t>
  </si>
  <si>
    <t>Assistant Researcher IV (Fiscal Year)</t>
  </si>
  <si>
    <t>Assistant Researcher V (Fiscal Year)</t>
  </si>
  <si>
    <t>Assistant Researcher VI (Fiscal Year)</t>
  </si>
  <si>
    <t>Assistant Specialist I (max 2 years)</t>
  </si>
  <si>
    <t>24A</t>
  </si>
  <si>
    <t>Assistant Specialist II (max 2 years)</t>
  </si>
  <si>
    <t>Assistant Specialist III (max 2 years)</t>
  </si>
  <si>
    <t>Associate Project Scientist I (Fiscal Year/Represented) Max 2 years</t>
  </si>
  <si>
    <t>Associate Project Scientist II (Fiscal Year/Represented) Max 2 years</t>
  </si>
  <si>
    <t>Associate Project Scientist III (Fiscal Year/Represented) Max 2 years</t>
  </si>
  <si>
    <t>Associate Project Scientist IV (Fiscal Year/Represented) Max 3 years</t>
  </si>
  <si>
    <t>Associate Project Scientist V (Fiscal Year/Represented) Max 3 years</t>
  </si>
  <si>
    <t>Associate Researcher I (Fiscal Year)</t>
  </si>
  <si>
    <t>Associate Researcher II (Fiscal Year)</t>
  </si>
  <si>
    <t>Associate Researcher III (Fiscal Year)</t>
  </si>
  <si>
    <t>Associate Researcher IV (Fiscal Year)</t>
  </si>
  <si>
    <t>Associate Researcher V (Fiscal Year)</t>
  </si>
  <si>
    <t>Associate Specialist I (max 2 year)</t>
  </si>
  <si>
    <t>Associate Specialist II (max 2 years)</t>
  </si>
  <si>
    <t>Associate Specialist III (max 2 years)</t>
  </si>
  <si>
    <t>Associate Specialist IV (max 2 years)</t>
  </si>
  <si>
    <t>Experience</t>
  </si>
  <si>
    <t>Student</t>
  </si>
  <si>
    <t>BC11</t>
  </si>
  <si>
    <t>0-3 Quarters</t>
  </si>
  <si>
    <t>GSR I NEW (NRT) Annual @ 100% FTE</t>
  </si>
  <si>
    <t>GSR II NEW (NO NRT) Annual @ 100% FTE</t>
  </si>
  <si>
    <t>4-6 Quarters</t>
  </si>
  <si>
    <t>GSR II NEW (NRT) Annual @ 100% FTE</t>
  </si>
  <si>
    <t>7+ Quarters</t>
  </si>
  <si>
    <t>GSR III NEW (NRT) Annual @ 100% FTE</t>
  </si>
  <si>
    <t>GSR IV NEW (NO NRT) Annual @ 100% FTE</t>
  </si>
  <si>
    <t>Advanced</t>
  </si>
  <si>
    <t>GSR IV NEW (NRT) Annual @ 100% FTE</t>
  </si>
  <si>
    <t>Jr. Specialist I (FY, max 1 year)</t>
  </si>
  <si>
    <t>Jr. Specialist I (non-exempt, 40 hrs per wk*52 wks)</t>
  </si>
  <si>
    <t>24B</t>
  </si>
  <si>
    <t>Jr. Specialist II (FY, max 1 year)</t>
  </si>
  <si>
    <t>Jr. Specialist II (non-exempt, 40 hrs per wk*52 wks)</t>
  </si>
  <si>
    <t>Hourly rate</t>
  </si>
  <si>
    <t>LAB ASSISTANT I- Step 1.0, TC 9605/Non-Exempt</t>
  </si>
  <si>
    <t>Staff Non-Exempt</t>
  </si>
  <si>
    <t>BC28</t>
  </si>
  <si>
    <t>STAFF</t>
  </si>
  <si>
    <t>https://hrms.ucr.edu/app/home/jobCode</t>
  </si>
  <si>
    <t>LAB ASSISTANT III- Step 1.0, TC 9602/Non-Exempt</t>
  </si>
  <si>
    <t>LAB ASSISTANT IV- Step 1.0, TC 9601/Non-Exempt</t>
  </si>
  <si>
    <t>LAB HELPER-TC 9606/Non-Exempt Step I</t>
  </si>
  <si>
    <t>LAB HELPER-TC 9606/Non-Exempt Step II</t>
  </si>
  <si>
    <t>LAB HELPER-TC 9606/Non-Exempt Step III</t>
  </si>
  <si>
    <t>LAB HELPER-TC 9606/Non-Exempt Step IV</t>
  </si>
  <si>
    <t>LAB HELPER-TC 9606/Non-Exempt Step V</t>
  </si>
  <si>
    <t>LAB HELPER-TC 9606/Non-Exempt Step VI</t>
  </si>
  <si>
    <t>LAB HELPER-TC 9606/Non-Exempt Step VIII</t>
  </si>
  <si>
    <t>LAB HELPER-TC 9606/Non-Exempt Step IX</t>
  </si>
  <si>
    <t>LAB HELPER-TC 9606/Non-Exempt Step X</t>
  </si>
  <si>
    <t>LAB HELPER-TC 9606/Non-Exempt Step XI</t>
  </si>
  <si>
    <t>LAB HELPER-TC 9606/Non-Exempt Step XII</t>
  </si>
  <si>
    <t xml:space="preserve">POSTGRADUATE RSCHER (0-11 mos experience) </t>
  </si>
  <si>
    <t>Post-Doctoral Researcher</t>
  </si>
  <si>
    <t xml:space="preserve">POSTGRADUATE RSCHER (24-35 mos experience) </t>
  </si>
  <si>
    <t xml:space="preserve">POSTGRADUATE RSCHER (36-47 mos experience) </t>
  </si>
  <si>
    <t xml:space="preserve">POSTGRADUATE RSCHER (48-59 mos experience) </t>
  </si>
  <si>
    <t xml:space="preserve">POSTGRADUATE RSCHER (60-72 mos BY EXCEPTION) </t>
  </si>
  <si>
    <t>Project Scientist I (Fiscal Year/Represented) (Max 3 years)</t>
  </si>
  <si>
    <t>Project Scientist II (Fiscal Year/Represented) (Max 3 years)</t>
  </si>
  <si>
    <t>Project Scientist III (Fiscal Year/Represented) (Max 3 years)</t>
  </si>
  <si>
    <t>Project Scientist IV (Fiscal Year/Represented) (Max 3 years)</t>
  </si>
  <si>
    <t>Project Scientist IX (Fiscal Year/Represented)</t>
  </si>
  <si>
    <t>Project Scientist V (Fiscal Year/Represented)</t>
  </si>
  <si>
    <t>Project Scientist VI (Fiscal Year/Represented)</t>
  </si>
  <si>
    <t>Project Scientist VII (Fiscal Year/Represented)</t>
  </si>
  <si>
    <t>Project Scientist VIII (Fiscal Year/Represented)</t>
  </si>
  <si>
    <t>Researcher I (Fiscal Year)</t>
  </si>
  <si>
    <t>Researcher II (Fiscal Year)</t>
  </si>
  <si>
    <t>Researcher III (Fiscal Year)</t>
  </si>
  <si>
    <t>Researcher IV (Fiscal Year)</t>
  </si>
  <si>
    <t>Specialist I (3 years max)</t>
  </si>
  <si>
    <t>Specialist II (3 years max)</t>
  </si>
  <si>
    <t>Specialist III (3 years max)</t>
  </si>
  <si>
    <t>Specialist IV (3 years max)</t>
  </si>
  <si>
    <t>Specialist V (3 years max)</t>
  </si>
  <si>
    <t>Specialist VI (3 years max)</t>
  </si>
  <si>
    <t>SRA I- Step 1.0/ 009613 Non-Exempt</t>
  </si>
  <si>
    <t>SRA II- Step 1.0/ 009617 NEX Non-Exempt</t>
  </si>
  <si>
    <t>SRA III- Step 1.0/ 009611 Exempt</t>
  </si>
  <si>
    <t>Staff Exempt</t>
  </si>
  <si>
    <t>SRA IV- Step 1.0/ 009610 Exempt</t>
  </si>
  <si>
    <t>UNDRGRAD 19 hours per week for 12 mos.</t>
  </si>
  <si>
    <t>https://hr.ucr.edu/document/student-assistant-salary-structure</t>
  </si>
  <si>
    <t>PER discussion with RED at DA meeting 1/12/23, use current rates unless FED rate required</t>
  </si>
  <si>
    <t>Employee Classification</t>
  </si>
  <si>
    <t>Vacation Leave Accural</t>
  </si>
  <si>
    <t>FY19 Fed Approved CBR rate</t>
  </si>
  <si>
    <t>Faculty</t>
  </si>
  <si>
    <t>BC20</t>
  </si>
  <si>
    <t>Health Science Compensation Plan (HSCP) Faculty</t>
  </si>
  <si>
    <t>No Benefit Eligibility</t>
  </si>
  <si>
    <t>BC30</t>
  </si>
  <si>
    <t>Partial Benefit Eligibility</t>
  </si>
  <si>
    <t>Category</t>
  </si>
  <si>
    <t>2024-2025</t>
  </si>
  <si>
    <t>Partial Remission Fee</t>
  </si>
  <si>
    <t>Partial Remission Fee + GSHIP (CA Residents)</t>
  </si>
  <si>
    <t>Nonresident Tuition</t>
  </si>
  <si>
    <t>Nonresident NRT + Partial Remission Fee + GSHIP</t>
  </si>
  <si>
    <t>Constant</t>
  </si>
  <si>
    <t>Value</t>
  </si>
  <si>
    <t>Merit Increase</t>
  </si>
  <si>
    <t>UCRP Supplemental Interest</t>
  </si>
  <si>
    <t>Indirect Cost Rates</t>
  </si>
  <si>
    <t>No Indirect Costs Allowed</t>
  </si>
  <si>
    <t>Federal Grant - UCRP Sup. Int. Asst. (applied to payroll on all non-federal funds).</t>
  </si>
  <si>
    <t>GAEL Rates</t>
  </si>
  <si>
    <t>Employee Liability Insurance</t>
  </si>
  <si>
    <t>General Liability Insurance</t>
  </si>
  <si>
    <t>Vacation Leave Accrual Group 2</t>
  </si>
  <si>
    <t>Vacation Leave Accrual Group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</si>
</sst>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164" formatCode="m/d/yyyy;@"/>
    <numFmt numFmtId="165" formatCode="0.0000%"/>
    <numFmt numFmtId="166" formatCode="#,##0.0000_);[Red]\(#,##0.0000\)"/>
    <numFmt numFmtId="167" formatCode="0.000%"/>
    <numFmt numFmtId="168" formatCode="&quot;$&quot;#,##0.00"/>
    <numFmt numFmtId="169" formatCode="0.0%"/>
    <numFmt numFmtId="170" formatCode="0.000"/>
  </numFmts>
  <fonts count="40">
    <font>
      <sz val="10"/>
      <name val="Geneva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2"/>
      <name val="Book Antiqua"/>
      <family val="1"/>
    </font>
    <font>
      <b/>
      <sz val="10"/>
      <color indexed="10"/>
      <name val="Book Antiqua"/>
      <family val="1"/>
    </font>
    <font>
      <sz val="10"/>
      <color indexed="10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b/>
      <sz val="10"/>
      <color indexed="8"/>
      <name val="Book Antiqua"/>
      <family val="1"/>
    </font>
    <font>
      <b/>
      <sz val="10"/>
      <color indexed="12"/>
      <name val="Book Antiqua"/>
      <family val="1"/>
    </font>
    <font>
      <b/>
      <sz val="10"/>
      <color indexed="10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Book Antiqua"/>
      <family val="1"/>
    </font>
    <font>
      <b/>
      <sz val="10"/>
      <color rgb="FFFF0000"/>
      <name val="Book Antiqua"/>
      <family val="1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color rgb="FF0033CC"/>
      <name val="Book Antiqua"/>
      <family val="1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name val="Book Antiqua"/>
      <family val="1"/>
    </font>
    <font>
      <b/>
      <sz val="10"/>
      <name val="Geneva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10"/>
      <color theme="7" tint="-0.249977111117893"/>
      <name val="Arial"/>
      <family val="2"/>
    </font>
    <font>
      <b/>
      <sz val="10"/>
      <color theme="7" tint="-0.249977111117893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10"/>
      <name val="Geneva"/>
    </font>
    <font>
      <u/>
      <sz val="10"/>
      <color theme="10"/>
      <name val="Geneva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C9C9C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2DCDB"/>
        <bgColor rgb="FFF2DCDB"/>
      </patternFill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6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theme="9"/>
      </top>
      <bottom/>
      <diagonal/>
    </border>
    <border>
      <left style="thin">
        <color indexed="64"/>
      </left>
      <right/>
      <top style="thin">
        <color theme="9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rgb="FF000000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C0504D"/>
      </left>
      <right style="thin">
        <color rgb="FFC0504D"/>
      </right>
      <top style="thin">
        <color rgb="FFC0504D"/>
      </top>
      <bottom style="thin">
        <color rgb="FFC0504D"/>
      </bottom>
      <diagonal/>
    </border>
    <border>
      <left style="thin">
        <color rgb="FFC0504D"/>
      </left>
      <right style="thin">
        <color rgb="FFC0504D"/>
      </right>
      <top style="thin">
        <color rgb="FFC0504D"/>
      </top>
      <bottom style="medium">
        <color rgb="FFC0504D"/>
      </bottom>
      <diagonal/>
    </border>
  </borders>
  <cellStyleXfs count="9">
    <xf numFmtId="0" fontId="0" fillId="0" borderId="0"/>
    <xf numFmtId="40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17" fillId="0" borderId="0"/>
    <xf numFmtId="0" fontId="19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365">
    <xf numFmtId="0" fontId="0" fillId="0" borderId="0" xfId="0"/>
    <xf numFmtId="0" fontId="3" fillId="0" borderId="0" xfId="0" applyFont="1"/>
    <xf numFmtId="38" fontId="6" fillId="0" borderId="6" xfId="0" applyNumberFormat="1" applyFont="1" applyBorder="1"/>
    <xf numFmtId="38" fontId="6" fillId="0" borderId="7" xfId="0" applyNumberFormat="1" applyFont="1" applyBorder="1"/>
    <xf numFmtId="38" fontId="3" fillId="0" borderId="7" xfId="0" applyNumberFormat="1" applyFont="1" applyBorder="1"/>
    <xf numFmtId="38" fontId="3" fillId="0" borderId="7" xfId="0" applyNumberFormat="1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8" fontId="6" fillId="0" borderId="8" xfId="0" applyNumberFormat="1" applyFont="1" applyBorder="1"/>
    <xf numFmtId="38" fontId="6" fillId="0" borderId="0" xfId="0" applyNumberFormat="1" applyFont="1"/>
    <xf numFmtId="38" fontId="3" fillId="0" borderId="0" xfId="0" applyNumberFormat="1" applyFont="1"/>
    <xf numFmtId="38" fontId="3" fillId="0" borderId="0" xfId="0" applyNumberFormat="1" applyFont="1" applyAlignment="1">
      <alignment horizontal="center"/>
    </xf>
    <xf numFmtId="38" fontId="3" fillId="0" borderId="2" xfId="0" applyNumberFormat="1" applyFont="1" applyBorder="1" applyAlignment="1">
      <alignment horizontal="center"/>
    </xf>
    <xf numFmtId="38" fontId="3" fillId="0" borderId="8" xfId="0" applyNumberFormat="1" applyFont="1" applyBorder="1"/>
    <xf numFmtId="38" fontId="5" fillId="0" borderId="0" xfId="0" applyNumberFormat="1" applyFont="1"/>
    <xf numFmtId="38" fontId="3" fillId="0" borderId="2" xfId="0" applyNumberFormat="1" applyFont="1" applyBorder="1" applyAlignment="1">
      <alignment horizontal="right"/>
    </xf>
    <xf numFmtId="38" fontId="3" fillId="0" borderId="0" xfId="0" applyNumberFormat="1" applyFont="1" applyProtection="1">
      <protection locked="0"/>
    </xf>
    <xf numFmtId="164" fontId="3" fillId="3" borderId="1" xfId="0" applyNumberFormat="1" applyFont="1" applyFill="1" applyBorder="1" applyAlignment="1" applyProtection="1">
      <alignment horizontal="right"/>
      <protection locked="0"/>
    </xf>
    <xf numFmtId="49" fontId="3" fillId="3" borderId="11" xfId="0" applyNumberFormat="1" applyFont="1" applyFill="1" applyBorder="1" applyAlignment="1" applyProtection="1">
      <alignment horizontal="right"/>
      <protection locked="0"/>
    </xf>
    <xf numFmtId="38" fontId="3" fillId="0" borderId="15" xfId="0" applyNumberFormat="1" applyFont="1" applyBorder="1"/>
    <xf numFmtId="38" fontId="3" fillId="0" borderId="5" xfId="0" applyNumberFormat="1" applyFont="1" applyBorder="1"/>
    <xf numFmtId="38" fontId="6" fillId="0" borderId="5" xfId="0" applyNumberFormat="1" applyFont="1" applyBorder="1" applyAlignment="1">
      <alignment horizontal="left"/>
    </xf>
    <xf numFmtId="38" fontId="3" fillId="0" borderId="16" xfId="0" applyNumberFormat="1" applyFont="1" applyBorder="1" applyAlignment="1">
      <alignment horizontal="right"/>
    </xf>
    <xf numFmtId="38" fontId="6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38" fontId="3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38" fontId="3" fillId="0" borderId="8" xfId="0" applyNumberFormat="1" applyFont="1" applyBorder="1" applyAlignment="1">
      <alignment wrapText="1"/>
    </xf>
    <xf numFmtId="38" fontId="3" fillId="0" borderId="8" xfId="0" applyNumberFormat="1" applyFont="1" applyBorder="1" applyAlignment="1">
      <alignment horizontal="left"/>
    </xf>
    <xf numFmtId="38" fontId="3" fillId="3" borderId="11" xfId="0" applyNumberFormat="1" applyFont="1" applyFill="1" applyBorder="1" applyProtection="1">
      <protection locked="0"/>
    </xf>
    <xf numFmtId="38" fontId="5" fillId="0" borderId="2" xfId="0" applyNumberFormat="1" applyFont="1" applyBorder="1" applyAlignment="1">
      <alignment horizontal="right"/>
    </xf>
    <xf numFmtId="38" fontId="5" fillId="0" borderId="8" xfId="0" applyNumberFormat="1" applyFont="1" applyBorder="1"/>
    <xf numFmtId="38" fontId="3" fillId="0" borderId="18" xfId="0" applyNumberFormat="1" applyFont="1" applyBorder="1"/>
    <xf numFmtId="38" fontId="3" fillId="0" borderId="9" xfId="0" applyNumberFormat="1" applyFont="1" applyBorder="1"/>
    <xf numFmtId="38" fontId="3" fillId="0" borderId="5" xfId="0" applyNumberFormat="1" applyFont="1" applyBorder="1" applyAlignment="1">
      <alignment horizontal="right"/>
    </xf>
    <xf numFmtId="38" fontId="3" fillId="0" borderId="19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right"/>
    </xf>
    <xf numFmtId="38" fontId="3" fillId="0" borderId="0" xfId="1" applyNumberFormat="1" applyFont="1" applyFill="1" applyBorder="1" applyProtection="1"/>
    <xf numFmtId="38" fontId="3" fillId="2" borderId="0" xfId="0" applyNumberFormat="1" applyFont="1" applyFill="1" applyProtection="1">
      <protection locked="0"/>
    </xf>
    <xf numFmtId="38" fontId="3" fillId="2" borderId="8" xfId="0" applyNumberFormat="1" applyFont="1" applyFill="1" applyBorder="1" applyProtection="1">
      <protection locked="0"/>
    </xf>
    <xf numFmtId="38" fontId="5" fillId="0" borderId="12" xfId="0" applyNumberFormat="1" applyFont="1" applyBorder="1"/>
    <xf numFmtId="38" fontId="3" fillId="0" borderId="9" xfId="0" applyNumberFormat="1" applyFont="1" applyBorder="1" applyAlignment="1">
      <alignment horizontal="right"/>
    </xf>
    <xf numFmtId="0" fontId="3" fillId="0" borderId="8" xfId="0" applyFont="1" applyBorder="1"/>
    <xf numFmtId="38" fontId="5" fillId="0" borderId="8" xfId="0" applyNumberFormat="1" applyFont="1" applyBorder="1" applyAlignment="1" applyProtection="1">
      <alignment horizontal="center"/>
      <protection locked="0"/>
    </xf>
    <xf numFmtId="38" fontId="12" fillId="0" borderId="0" xfId="0" applyNumberFormat="1" applyFont="1" applyAlignment="1" applyProtection="1">
      <alignment horizontal="center"/>
      <protection locked="0"/>
    </xf>
    <xf numFmtId="38" fontId="5" fillId="0" borderId="1" xfId="0" applyNumberFormat="1" applyFont="1" applyBorder="1"/>
    <xf numFmtId="49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38" fontId="14" fillId="0" borderId="0" xfId="0" applyNumberFormat="1" applyFont="1"/>
    <xf numFmtId="38" fontId="6" fillId="0" borderId="0" xfId="0" applyNumberFormat="1" applyFont="1" applyAlignment="1">
      <alignment horizontal="right"/>
    </xf>
    <xf numFmtId="0" fontId="3" fillId="0" borderId="0" xfId="5" applyFont="1"/>
    <xf numFmtId="38" fontId="3" fillId="0" borderId="0" xfId="5" applyNumberFormat="1" applyFont="1" applyAlignment="1">
      <alignment horizontal="right"/>
    </xf>
    <xf numFmtId="38" fontId="3" fillId="0" borderId="0" xfId="5" applyNumberFormat="1" applyFont="1"/>
    <xf numFmtId="38" fontId="3" fillId="0" borderId="4" xfId="5" applyNumberFormat="1" applyFont="1" applyBorder="1" applyAlignment="1">
      <alignment horizontal="right"/>
    </xf>
    <xf numFmtId="0" fontId="3" fillId="0" borderId="20" xfId="0" applyFont="1" applyBorder="1"/>
    <xf numFmtId="0" fontId="3" fillId="0" borderId="4" xfId="0" applyFont="1" applyBorder="1"/>
    <xf numFmtId="38" fontId="3" fillId="0" borderId="4" xfId="5" applyNumberFormat="1" applyFont="1" applyBorder="1"/>
    <xf numFmtId="38" fontId="3" fillId="0" borderId="21" xfId="5" applyNumberFormat="1" applyFont="1" applyBorder="1" applyAlignment="1">
      <alignment horizontal="right"/>
    </xf>
    <xf numFmtId="0" fontId="3" fillId="0" borderId="22" xfId="0" applyFont="1" applyBorder="1"/>
    <xf numFmtId="38" fontId="3" fillId="0" borderId="23" xfId="5" applyNumberFormat="1" applyFont="1" applyBorder="1" applyAlignment="1">
      <alignment horizontal="right"/>
    </xf>
    <xf numFmtId="0" fontId="3" fillId="0" borderId="24" xfId="0" applyFont="1" applyBorder="1"/>
    <xf numFmtId="3" fontId="3" fillId="0" borderId="0" xfId="0" applyNumberFormat="1" applyFont="1"/>
    <xf numFmtId="3" fontId="3" fillId="0" borderId="23" xfId="0" applyNumberFormat="1" applyFont="1" applyBorder="1"/>
    <xf numFmtId="38" fontId="3" fillId="6" borderId="0" xfId="5" applyNumberFormat="1" applyFont="1" applyFill="1" applyAlignment="1">
      <alignment horizontal="left"/>
    </xf>
    <xf numFmtId="0" fontId="3" fillId="6" borderId="0" xfId="5" applyFont="1" applyFill="1"/>
    <xf numFmtId="3" fontId="3" fillId="0" borderId="4" xfId="0" applyNumberFormat="1" applyFont="1" applyBorder="1"/>
    <xf numFmtId="3" fontId="3" fillId="0" borderId="21" xfId="0" applyNumberFormat="1" applyFont="1" applyBorder="1"/>
    <xf numFmtId="3" fontId="3" fillId="0" borderId="25" xfId="0" applyNumberFormat="1" applyFont="1" applyBorder="1"/>
    <xf numFmtId="0" fontId="3" fillId="6" borderId="0" xfId="0" applyFont="1" applyFill="1"/>
    <xf numFmtId="38" fontId="3" fillId="0" borderId="24" xfId="0" applyNumberFormat="1" applyFont="1" applyBorder="1"/>
    <xf numFmtId="38" fontId="3" fillId="0" borderId="23" xfId="0" applyNumberFormat="1" applyFont="1" applyBorder="1" applyAlignment="1">
      <alignment horizontal="right"/>
    </xf>
    <xf numFmtId="38" fontId="5" fillId="0" borderId="24" xfId="0" applyNumberFormat="1" applyFont="1" applyBorder="1"/>
    <xf numFmtId="38" fontId="3" fillId="0" borderId="5" xfId="1" applyNumberFormat="1" applyFont="1" applyBorder="1"/>
    <xf numFmtId="38" fontId="5" fillId="0" borderId="26" xfId="0" applyNumberFormat="1" applyFont="1" applyBorder="1"/>
    <xf numFmtId="38" fontId="5" fillId="0" borderId="27" xfId="0" applyNumberFormat="1" applyFont="1" applyBorder="1"/>
    <xf numFmtId="38" fontId="3" fillId="0" borderId="27" xfId="0" applyNumberFormat="1" applyFont="1" applyBorder="1"/>
    <xf numFmtId="38" fontId="5" fillId="0" borderId="27" xfId="1" applyNumberFormat="1" applyFont="1" applyBorder="1"/>
    <xf numFmtId="38" fontId="5" fillId="0" borderId="28" xfId="1" applyNumberFormat="1" applyFont="1" applyBorder="1" applyAlignment="1">
      <alignment horizontal="right"/>
    </xf>
    <xf numFmtId="38" fontId="3" fillId="0" borderId="29" xfId="0" applyNumberFormat="1" applyFont="1" applyBorder="1" applyAlignment="1">
      <alignment horizontal="right"/>
    </xf>
    <xf numFmtId="38" fontId="3" fillId="0" borderId="27" xfId="0" applyNumberFormat="1" applyFont="1" applyBorder="1" applyAlignment="1">
      <alignment horizontal="right"/>
    </xf>
    <xf numFmtId="38" fontId="5" fillId="0" borderId="27" xfId="1" applyNumberFormat="1" applyFont="1" applyBorder="1" applyAlignment="1">
      <alignment horizontal="right"/>
    </xf>
    <xf numFmtId="0" fontId="5" fillId="0" borderId="30" xfId="0" applyFont="1" applyBorder="1"/>
    <xf numFmtId="38" fontId="3" fillId="0" borderId="31" xfId="1" applyNumberFormat="1" applyFont="1" applyBorder="1"/>
    <xf numFmtId="38" fontId="3" fillId="0" borderId="32" xfId="0" applyNumberFormat="1" applyFont="1" applyBorder="1" applyAlignment="1">
      <alignment horizontal="right"/>
    </xf>
    <xf numFmtId="3" fontId="8" fillId="0" borderId="23" xfId="0" applyNumberFormat="1" applyFont="1" applyBorder="1"/>
    <xf numFmtId="3" fontId="8" fillId="0" borderId="5" xfId="0" applyNumberFormat="1" applyFont="1" applyBorder="1"/>
    <xf numFmtId="3" fontId="8" fillId="0" borderId="0" xfId="0" applyNumberFormat="1" applyFont="1"/>
    <xf numFmtId="38" fontId="8" fillId="0" borderId="0" xfId="0" applyNumberFormat="1" applyFont="1" applyAlignment="1">
      <alignment horizontal="left"/>
    </xf>
    <xf numFmtId="3" fontId="8" fillId="7" borderId="5" xfId="0" applyNumberFormat="1" applyFont="1" applyFill="1" applyBorder="1"/>
    <xf numFmtId="3" fontId="8" fillId="7" borderId="0" xfId="0" applyNumberFormat="1" applyFont="1" applyFill="1"/>
    <xf numFmtId="38" fontId="3" fillId="6" borderId="0" xfId="0" applyNumberFormat="1" applyFont="1" applyFill="1" applyAlignment="1">
      <alignment horizontal="left"/>
    </xf>
    <xf numFmtId="38" fontId="3" fillId="0" borderId="0" xfId="5" applyNumberFormat="1" applyFont="1" applyAlignment="1">
      <alignment horizontal="left"/>
    </xf>
    <xf numFmtId="3" fontId="3" fillId="0" borderId="5" xfId="0" applyNumberFormat="1" applyFont="1" applyBorder="1"/>
    <xf numFmtId="38" fontId="3" fillId="0" borderId="32" xfId="5" applyNumberFormat="1" applyFont="1" applyBorder="1" applyAlignment="1">
      <alignment horizontal="right"/>
    </xf>
    <xf numFmtId="0" fontId="3" fillId="0" borderId="5" xfId="5" applyFont="1" applyBorder="1" applyAlignment="1">
      <alignment horizontal="right"/>
    </xf>
    <xf numFmtId="0" fontId="3" fillId="0" borderId="7" xfId="5" applyFont="1" applyBorder="1"/>
    <xf numFmtId="38" fontId="3" fillId="0" borderId="5" xfId="5" applyNumberFormat="1" applyFont="1" applyBorder="1" applyAlignment="1">
      <alignment horizontal="right"/>
    </xf>
    <xf numFmtId="1" fontId="3" fillId="0" borderId="32" xfId="5" applyNumberFormat="1" applyFont="1" applyBorder="1"/>
    <xf numFmtId="1" fontId="3" fillId="0" borderId="30" xfId="5" applyNumberFormat="1" applyFont="1" applyBorder="1"/>
    <xf numFmtId="1" fontId="3" fillId="0" borderId="33" xfId="5" applyNumberFormat="1" applyFont="1" applyBorder="1"/>
    <xf numFmtId="1" fontId="3" fillId="0" borderId="32" xfId="0" applyNumberFormat="1" applyFont="1" applyBorder="1" applyAlignment="1">
      <alignment horizontal="right"/>
    </xf>
    <xf numFmtId="1" fontId="3" fillId="0" borderId="30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1" fontId="3" fillId="0" borderId="33" xfId="0" applyNumberFormat="1" applyFont="1" applyBorder="1" applyAlignment="1">
      <alignment horizontal="right"/>
    </xf>
    <xf numFmtId="1" fontId="3" fillId="0" borderId="32" xfId="0" applyNumberFormat="1" applyFont="1" applyBorder="1"/>
    <xf numFmtId="0" fontId="17" fillId="0" borderId="0" xfId="3"/>
    <xf numFmtId="14" fontId="19" fillId="0" borderId="0" xfId="4" applyNumberFormat="1"/>
    <xf numFmtId="14" fontId="17" fillId="0" borderId="0" xfId="3" applyNumberFormat="1"/>
    <xf numFmtId="10" fontId="17" fillId="0" borderId="0" xfId="3" applyNumberFormat="1"/>
    <xf numFmtId="165" fontId="17" fillId="0" borderId="0" xfId="3" applyNumberFormat="1"/>
    <xf numFmtId="38" fontId="24" fillId="0" borderId="0" xfId="0" applyNumberFormat="1" applyFont="1"/>
    <xf numFmtId="38" fontId="5" fillId="0" borderId="0" xfId="0" applyNumberFormat="1" applyFont="1" applyAlignment="1">
      <alignment horizontal="left"/>
    </xf>
    <xf numFmtId="38" fontId="5" fillId="0" borderId="0" xfId="0" applyNumberFormat="1" applyFont="1" applyAlignment="1" applyProtection="1">
      <alignment horizontal="left"/>
      <protection locked="0"/>
    </xf>
    <xf numFmtId="38" fontId="5" fillId="0" borderId="0" xfId="0" applyNumberFormat="1" applyFont="1" applyProtection="1">
      <protection locked="0"/>
    </xf>
    <xf numFmtId="10" fontId="3" fillId="0" borderId="0" xfId="0" applyNumberFormat="1" applyFont="1"/>
    <xf numFmtId="38" fontId="3" fillId="0" borderId="0" xfId="0" applyNumberFormat="1" applyFont="1" applyAlignment="1" applyProtection="1">
      <alignment horizontal="left"/>
      <protection locked="0"/>
    </xf>
    <xf numFmtId="10" fontId="3" fillId="0" borderId="0" xfId="0" applyNumberFormat="1" applyFont="1" applyProtection="1">
      <protection locked="0"/>
    </xf>
    <xf numFmtId="10" fontId="5" fillId="0" borderId="0" xfId="0" applyNumberFormat="1" applyFont="1"/>
    <xf numFmtId="38" fontId="7" fillId="0" borderId="0" xfId="0" applyNumberFormat="1" applyFont="1" applyAlignment="1">
      <alignment horizontal="left"/>
    </xf>
    <xf numFmtId="38" fontId="10" fillId="0" borderId="0" xfId="0" applyNumberFormat="1" applyFont="1" applyAlignment="1">
      <alignment horizontal="left"/>
    </xf>
    <xf numFmtId="38" fontId="10" fillId="0" borderId="0" xfId="0" applyNumberFormat="1" applyFont="1" applyAlignment="1">
      <alignment horizontal="center"/>
    </xf>
    <xf numFmtId="38" fontId="9" fillId="0" borderId="0" xfId="0" applyNumberFormat="1" applyFont="1" applyAlignment="1">
      <alignment horizontal="center"/>
    </xf>
    <xf numFmtId="38" fontId="20" fillId="0" borderId="0" xfId="0" applyNumberFormat="1" applyFont="1"/>
    <xf numFmtId="0" fontId="18" fillId="0" borderId="39" xfId="3" applyFont="1" applyBorder="1"/>
    <xf numFmtId="8" fontId="17" fillId="0" borderId="0" xfId="2" applyFont="1" applyBorder="1" applyAlignment="1"/>
    <xf numFmtId="0" fontId="17" fillId="9" borderId="0" xfId="3" applyFill="1"/>
    <xf numFmtId="8" fontId="17" fillId="9" borderId="0" xfId="2" applyFont="1" applyFill="1" applyBorder="1" applyAlignment="1"/>
    <xf numFmtId="38" fontId="3" fillId="0" borderId="2" xfId="0" applyNumberFormat="1" applyFont="1" applyBorder="1" applyAlignment="1">
      <alignment horizontal="left" wrapText="1"/>
    </xf>
    <xf numFmtId="0" fontId="25" fillId="0" borderId="40" xfId="3" applyFont="1" applyBorder="1"/>
    <xf numFmtId="0" fontId="26" fillId="10" borderId="40" xfId="3" applyFont="1" applyFill="1" applyBorder="1"/>
    <xf numFmtId="0" fontId="26" fillId="0" borderId="41" xfId="3" applyFont="1" applyBorder="1"/>
    <xf numFmtId="38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38" fontId="6" fillId="0" borderId="7" xfId="0" applyNumberFormat="1" applyFont="1" applyBorder="1" applyAlignment="1">
      <alignment horizontal="left"/>
    </xf>
    <xf numFmtId="38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38" fontId="3" fillId="5" borderId="6" xfId="0" applyNumberFormat="1" applyFont="1" applyFill="1" applyBorder="1"/>
    <xf numFmtId="40" fontId="3" fillId="0" borderId="0" xfId="0" applyNumberFormat="1" applyFont="1" applyAlignment="1">
      <alignment horizontal="center"/>
    </xf>
    <xf numFmtId="38" fontId="3" fillId="0" borderId="5" xfId="0" applyNumberFormat="1" applyFont="1" applyBorder="1" applyAlignment="1">
      <alignment horizontal="center"/>
    </xf>
    <xf numFmtId="38" fontId="3" fillId="0" borderId="5" xfId="0" applyNumberFormat="1" applyFont="1" applyBorder="1" applyAlignment="1">
      <alignment horizontal="center" wrapText="1"/>
    </xf>
    <xf numFmtId="38" fontId="3" fillId="0" borderId="5" xfId="0" applyNumberFormat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right" wrapText="1"/>
    </xf>
    <xf numFmtId="38" fontId="6" fillId="0" borderId="15" xfId="0" applyNumberFormat="1" applyFont="1" applyBorder="1"/>
    <xf numFmtId="8" fontId="17" fillId="0" borderId="0" xfId="3" applyNumberFormat="1"/>
    <xf numFmtId="38" fontId="3" fillId="0" borderId="9" xfId="0" applyNumberFormat="1" applyFont="1" applyBorder="1" applyAlignment="1">
      <alignment horizontal="center"/>
    </xf>
    <xf numFmtId="167" fontId="3" fillId="0" borderId="10" xfId="0" applyNumberFormat="1" applyFont="1" applyBorder="1" applyProtection="1">
      <protection locked="0"/>
    </xf>
    <xf numFmtId="38" fontId="5" fillId="0" borderId="6" xfId="0" applyNumberFormat="1" applyFont="1" applyBorder="1"/>
    <xf numFmtId="38" fontId="5" fillId="0" borderId="7" xfId="0" applyNumberFormat="1" applyFont="1" applyBorder="1"/>
    <xf numFmtId="38" fontId="5" fillId="0" borderId="5" xfId="0" applyNumberFormat="1" applyFont="1" applyBorder="1"/>
    <xf numFmtId="38" fontId="5" fillId="3" borderId="1" xfId="0" applyNumberFormat="1" applyFont="1" applyFill="1" applyBorder="1" applyProtection="1">
      <protection locked="0"/>
    </xf>
    <xf numFmtId="38" fontId="3" fillId="0" borderId="8" xfId="0" applyNumberFormat="1" applyFont="1" applyBorder="1" applyAlignment="1">
      <alignment horizontal="right"/>
    </xf>
    <xf numFmtId="167" fontId="3" fillId="0" borderId="1" xfId="0" applyNumberFormat="1" applyFont="1" applyBorder="1" applyProtection="1">
      <protection locked="0"/>
    </xf>
    <xf numFmtId="38" fontId="3" fillId="0" borderId="6" xfId="0" applyNumberFormat="1" applyFont="1" applyBorder="1"/>
    <xf numFmtId="38" fontId="5" fillId="0" borderId="15" xfId="0" applyNumberFormat="1" applyFont="1" applyBorder="1"/>
    <xf numFmtId="38" fontId="21" fillId="0" borderId="0" xfId="0" applyNumberFormat="1" applyFont="1"/>
    <xf numFmtId="38" fontId="6" fillId="0" borderId="0" xfId="0" applyNumberFormat="1" applyFont="1" applyAlignment="1">
      <alignment horizontal="center"/>
    </xf>
    <xf numFmtId="0" fontId="5" fillId="0" borderId="15" xfId="0" applyFont="1" applyBorder="1"/>
    <xf numFmtId="0" fontId="5" fillId="0" borderId="5" xfId="0" applyFont="1" applyBorder="1"/>
    <xf numFmtId="0" fontId="5" fillId="0" borderId="16" xfId="0" applyFont="1" applyBorder="1"/>
    <xf numFmtId="38" fontId="3" fillId="3" borderId="42" xfId="0" applyNumberFormat="1" applyFont="1" applyFill="1" applyBorder="1" applyProtection="1">
      <protection locked="0"/>
    </xf>
    <xf numFmtId="0" fontId="28" fillId="0" borderId="43" xfId="0" applyFont="1" applyBorder="1" applyAlignment="1">
      <alignment horizontal="center"/>
    </xf>
    <xf numFmtId="38" fontId="0" fillId="0" borderId="8" xfId="1" applyNumberFormat="1" applyFont="1" applyBorder="1"/>
    <xf numFmtId="38" fontId="0" fillId="0" borderId="44" xfId="1" applyNumberFormat="1" applyFont="1" applyBorder="1"/>
    <xf numFmtId="38" fontId="0" fillId="0" borderId="15" xfId="1" applyNumberFormat="1" applyFont="1" applyBorder="1"/>
    <xf numFmtId="38" fontId="0" fillId="0" borderId="5" xfId="1" applyNumberFormat="1" applyFont="1" applyBorder="1"/>
    <xf numFmtId="38" fontId="0" fillId="0" borderId="45" xfId="1" applyNumberFormat="1" applyFont="1" applyBorder="1"/>
    <xf numFmtId="38" fontId="0" fillId="0" borderId="43" xfId="1" applyNumberFormat="1" applyFont="1" applyBorder="1"/>
    <xf numFmtId="1" fontId="0" fillId="0" borderId="0" xfId="0" applyNumberFormat="1"/>
    <xf numFmtId="38" fontId="0" fillId="0" borderId="46" xfId="1" applyNumberFormat="1" applyFont="1" applyBorder="1"/>
    <xf numFmtId="38" fontId="0" fillId="0" borderId="27" xfId="1" applyNumberFormat="1" applyFont="1" applyBorder="1"/>
    <xf numFmtId="38" fontId="0" fillId="0" borderId="47" xfId="1" applyNumberFormat="1" applyFont="1" applyBorder="1"/>
    <xf numFmtId="0" fontId="29" fillId="0" borderId="48" xfId="3" applyFont="1" applyBorder="1"/>
    <xf numFmtId="38" fontId="30" fillId="11" borderId="49" xfId="0" applyNumberFormat="1" applyFont="1" applyFill="1" applyBorder="1"/>
    <xf numFmtId="38" fontId="30" fillId="0" borderId="8" xfId="0" applyNumberFormat="1" applyFont="1" applyBorder="1"/>
    <xf numFmtId="38" fontId="30" fillId="11" borderId="8" xfId="0" applyNumberFormat="1" applyFont="1" applyFill="1" applyBorder="1"/>
    <xf numFmtId="38" fontId="0" fillId="0" borderId="0" xfId="1" applyNumberFormat="1" applyFont="1" applyBorder="1"/>
    <xf numFmtId="38" fontId="0" fillId="0" borderId="2" xfId="1" applyNumberFormat="1" applyFont="1" applyBorder="1"/>
    <xf numFmtId="38" fontId="0" fillId="0" borderId="16" xfId="1" applyNumberFormat="1" applyFont="1" applyBorder="1"/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38" fontId="0" fillId="0" borderId="50" xfId="1" applyNumberFormat="1" applyFont="1" applyBorder="1"/>
    <xf numFmtId="0" fontId="0" fillId="0" borderId="5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6" xfId="0" applyBorder="1" applyAlignment="1">
      <alignment horizontal="right"/>
    </xf>
    <xf numFmtId="38" fontId="0" fillId="0" borderId="51" xfId="1" applyNumberFormat="1" applyFont="1" applyBorder="1"/>
    <xf numFmtId="0" fontId="0" fillId="0" borderId="15" xfId="0" applyBorder="1" applyAlignment="1">
      <alignment horizontal="right"/>
    </xf>
    <xf numFmtId="38" fontId="3" fillId="3" borderId="17" xfId="0" applyNumberFormat="1" applyFont="1" applyFill="1" applyBorder="1" applyProtection="1">
      <protection locked="0"/>
    </xf>
    <xf numFmtId="38" fontId="3" fillId="2" borderId="0" xfId="0" applyNumberFormat="1" applyFont="1" applyFill="1"/>
    <xf numFmtId="38" fontId="3" fillId="3" borderId="1" xfId="0" applyNumberFormat="1" applyFont="1" applyFill="1" applyBorder="1" applyProtection="1">
      <protection locked="0"/>
    </xf>
    <xf numFmtId="38" fontId="0" fillId="0" borderId="4" xfId="1" applyNumberFormat="1" applyFont="1" applyBorder="1"/>
    <xf numFmtId="38" fontId="0" fillId="0" borderId="52" xfId="1" applyNumberFormat="1" applyFont="1" applyBorder="1"/>
    <xf numFmtId="38" fontId="0" fillId="0" borderId="3" xfId="1" applyNumberFormat="1" applyFont="1" applyBorder="1"/>
    <xf numFmtId="0" fontId="32" fillId="0" borderId="54" xfId="3" applyFont="1" applyBorder="1"/>
    <xf numFmtId="0" fontId="31" fillId="12" borderId="54" xfId="3" applyFont="1" applyFill="1" applyBorder="1"/>
    <xf numFmtId="0" fontId="31" fillId="0" borderId="53" xfId="3" applyFont="1" applyBorder="1"/>
    <xf numFmtId="0" fontId="33" fillId="0" borderId="0" xfId="3" applyFont="1"/>
    <xf numFmtId="40" fontId="17" fillId="0" borderId="0" xfId="1" applyFont="1" applyFill="1"/>
    <xf numFmtId="0" fontId="3" fillId="0" borderId="2" xfId="0" applyFont="1" applyBorder="1"/>
    <xf numFmtId="40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38" fontId="6" fillId="0" borderId="2" xfId="0" applyNumberFormat="1" applyFont="1" applyBorder="1" applyAlignment="1">
      <alignment horizontal="right"/>
    </xf>
    <xf numFmtId="38" fontId="6" fillId="0" borderId="2" xfId="0" applyNumberFormat="1" applyFont="1" applyBorder="1" applyAlignment="1">
      <alignment horizontal="center"/>
    </xf>
    <xf numFmtId="40" fontId="3" fillId="0" borderId="0" xfId="0" applyNumberFormat="1" applyFont="1"/>
    <xf numFmtId="38" fontId="21" fillId="0" borderId="8" xfId="0" applyNumberFormat="1" applyFont="1" applyBorder="1" applyAlignment="1">
      <alignment horizontal="right"/>
    </xf>
    <xf numFmtId="167" fontId="3" fillId="0" borderId="17" xfId="0" applyNumberFormat="1" applyFont="1" applyBorder="1" applyProtection="1">
      <protection locked="0"/>
    </xf>
    <xf numFmtId="167" fontId="3" fillId="0" borderId="11" xfId="0" applyNumberFormat="1" applyFont="1" applyBorder="1" applyProtection="1">
      <protection locked="0"/>
    </xf>
    <xf numFmtId="167" fontId="17" fillId="0" borderId="0" xfId="7" applyNumberFormat="1" applyFont="1"/>
    <xf numFmtId="0" fontId="17" fillId="0" borderId="39" xfId="3" applyBorder="1"/>
    <xf numFmtId="8" fontId="17" fillId="0" borderId="39" xfId="2" applyFont="1" applyBorder="1" applyAlignment="1"/>
    <xf numFmtId="0" fontId="22" fillId="8" borderId="55" xfId="3" applyFont="1" applyFill="1" applyBorder="1" applyAlignment="1">
      <alignment horizontal="center"/>
    </xf>
    <xf numFmtId="0" fontId="22" fillId="8" borderId="38" xfId="3" applyFont="1" applyFill="1" applyBorder="1" applyAlignment="1">
      <alignment horizontal="center"/>
    </xf>
    <xf numFmtId="0" fontId="22" fillId="8" borderId="56" xfId="3" applyFont="1" applyFill="1" applyBorder="1" applyAlignment="1">
      <alignment horizontal="center"/>
    </xf>
    <xf numFmtId="0" fontId="23" fillId="13" borderId="57" xfId="3" applyFont="1" applyFill="1" applyBorder="1"/>
    <xf numFmtId="168" fontId="23" fillId="13" borderId="0" xfId="3" applyNumberFormat="1" applyFont="1" applyFill="1"/>
    <xf numFmtId="168" fontId="23" fillId="13" borderId="58" xfId="3" applyNumberFormat="1" applyFont="1" applyFill="1" applyBorder="1"/>
    <xf numFmtId="0" fontId="23" fillId="0" borderId="55" xfId="3" applyFont="1" applyBorder="1"/>
    <xf numFmtId="168" fontId="23" fillId="0" borderId="38" xfId="3" applyNumberFormat="1" applyFont="1" applyBorder="1"/>
    <xf numFmtId="168" fontId="23" fillId="0" borderId="56" xfId="3" applyNumberFormat="1" applyFont="1" applyBorder="1"/>
    <xf numFmtId="0" fontId="23" fillId="0" borderId="60" xfId="3" applyFont="1" applyBorder="1"/>
    <xf numFmtId="168" fontId="23" fillId="0" borderId="59" xfId="3" applyNumberFormat="1" applyFont="1" applyBorder="1"/>
    <xf numFmtId="168" fontId="23" fillId="0" borderId="61" xfId="3" applyNumberFormat="1" applyFont="1" applyBorder="1"/>
    <xf numFmtId="0" fontId="34" fillId="0" borderId="62" xfId="0" applyFont="1" applyBorder="1"/>
    <xf numFmtId="168" fontId="34" fillId="0" borderId="63" xfId="0" applyNumberFormat="1" applyFont="1" applyBorder="1" applyAlignment="1">
      <alignment horizontal="right"/>
    </xf>
    <xf numFmtId="0" fontId="34" fillId="0" borderId="64" xfId="0" applyFont="1" applyBorder="1" applyAlignment="1">
      <alignment horizontal="right"/>
    </xf>
    <xf numFmtId="0" fontId="23" fillId="13" borderId="65" xfId="3" applyFont="1" applyFill="1" applyBorder="1"/>
    <xf numFmtId="168" fontId="23" fillId="13" borderId="5" xfId="3" applyNumberFormat="1" applyFont="1" applyFill="1" applyBorder="1"/>
    <xf numFmtId="168" fontId="23" fillId="13" borderId="66" xfId="3" applyNumberFormat="1" applyFont="1" applyFill="1" applyBorder="1"/>
    <xf numFmtId="167" fontId="31" fillId="0" borderId="53" xfId="7" applyNumberFormat="1" applyFont="1" applyBorder="1" applyAlignment="1"/>
    <xf numFmtId="0" fontId="3" fillId="0" borderId="0" xfId="0" applyFont="1" applyAlignment="1">
      <alignment horizontal="left"/>
    </xf>
    <xf numFmtId="0" fontId="5" fillId="0" borderId="68" xfId="0" applyFont="1" applyBorder="1"/>
    <xf numFmtId="6" fontId="3" fillId="0" borderId="0" xfId="2" applyNumberFormat="1" applyFont="1" applyProtection="1"/>
    <xf numFmtId="6" fontId="5" fillId="0" borderId="67" xfId="2" applyNumberFormat="1" applyFont="1" applyBorder="1" applyProtection="1"/>
    <xf numFmtId="6" fontId="3" fillId="0" borderId="69" xfId="2" applyNumberFormat="1" applyFont="1" applyBorder="1" applyProtection="1"/>
    <xf numFmtId="6" fontId="3" fillId="0" borderId="5" xfId="2" applyNumberFormat="1" applyFont="1" applyBorder="1" applyProtection="1"/>
    <xf numFmtId="6" fontId="3" fillId="0" borderId="0" xfId="2" applyNumberFormat="1" applyFont="1" applyBorder="1" applyProtection="1"/>
    <xf numFmtId="6" fontId="0" fillId="0" borderId="0" xfId="2" applyNumberFormat="1" applyFont="1"/>
    <xf numFmtId="169" fontId="0" fillId="0" borderId="0" xfId="7" applyNumberFormat="1" applyFont="1"/>
    <xf numFmtId="9" fontId="3" fillId="0" borderId="0" xfId="7" applyFont="1" applyBorder="1" applyProtection="1"/>
    <xf numFmtId="169" fontId="0" fillId="0" borderId="0" xfId="0" applyNumberFormat="1"/>
    <xf numFmtId="0" fontId="35" fillId="0" borderId="0" xfId="0" applyFont="1"/>
    <xf numFmtId="38" fontId="3" fillId="0" borderId="18" xfId="0" applyNumberFormat="1" applyFont="1" applyBorder="1" applyAlignment="1">
      <alignment horizontal="right"/>
    </xf>
    <xf numFmtId="38" fontId="5" fillId="0" borderId="18" xfId="0" applyNumberFormat="1" applyFont="1" applyBorder="1" applyAlignment="1">
      <alignment horizontal="right"/>
    </xf>
    <xf numFmtId="14" fontId="3" fillId="4" borderId="19" xfId="0" applyNumberFormat="1" applyFont="1" applyFill="1" applyBorder="1" applyAlignment="1">
      <alignment horizontal="center"/>
    </xf>
    <xf numFmtId="38" fontId="6" fillId="0" borderId="2" xfId="0" applyNumberFormat="1" applyFont="1" applyBorder="1"/>
    <xf numFmtId="168" fontId="17" fillId="0" borderId="0" xfId="3" applyNumberFormat="1"/>
    <xf numFmtId="168" fontId="33" fillId="0" borderId="0" xfId="3" applyNumberFormat="1" applyFont="1"/>
    <xf numFmtId="168" fontId="17" fillId="14" borderId="0" xfId="3" applyNumberFormat="1" applyFill="1"/>
    <xf numFmtId="38" fontId="8" fillId="0" borderId="0" xfId="0" applyNumberFormat="1" applyFont="1"/>
    <xf numFmtId="38" fontId="8" fillId="0" borderId="0" xfId="0" applyNumberFormat="1" applyFont="1" applyAlignment="1">
      <alignment horizontal="right"/>
    </xf>
    <xf numFmtId="38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 applyProtection="1">
      <alignment horizontal="right"/>
      <protection locked="0"/>
    </xf>
    <xf numFmtId="38" fontId="27" fillId="0" borderId="0" xfId="0" applyNumberFormat="1" applyFont="1" applyAlignment="1">
      <alignment horizontal="right"/>
    </xf>
    <xf numFmtId="38" fontId="27" fillId="0" borderId="2" xfId="0" applyNumberFormat="1" applyFont="1" applyBorder="1" applyAlignment="1">
      <alignment horizontal="right"/>
    </xf>
    <xf numFmtId="38" fontId="6" fillId="0" borderId="5" xfId="0" applyNumberFormat="1" applyFont="1" applyBorder="1"/>
    <xf numFmtId="38" fontId="14" fillId="0" borderId="5" xfId="0" applyNumberFormat="1" applyFont="1" applyBorder="1"/>
    <xf numFmtId="38" fontId="6" fillId="0" borderId="5" xfId="0" applyNumberFormat="1" applyFont="1" applyBorder="1" applyAlignment="1">
      <alignment horizontal="center"/>
    </xf>
    <xf numFmtId="38" fontId="6" fillId="0" borderId="16" xfId="0" applyNumberFormat="1" applyFont="1" applyBorder="1" applyAlignment="1">
      <alignment horizontal="center"/>
    </xf>
    <xf numFmtId="38" fontId="3" fillId="0" borderId="7" xfId="0" applyNumberFormat="1" applyFont="1" applyBorder="1" applyAlignment="1">
      <alignment horizontal="center"/>
    </xf>
    <xf numFmtId="38" fontId="5" fillId="0" borderId="0" xfId="0" applyNumberFormat="1" applyFont="1" applyAlignment="1">
      <alignment horizontal="right"/>
    </xf>
    <xf numFmtId="38" fontId="3" fillId="3" borderId="10" xfId="0" applyNumberFormat="1" applyFont="1" applyFill="1" applyBorder="1" applyAlignment="1" applyProtection="1">
      <alignment horizontal="left"/>
      <protection locked="0"/>
    </xf>
    <xf numFmtId="38" fontId="3" fillId="3" borderId="14" xfId="0" applyNumberFormat="1" applyFont="1" applyFill="1" applyBorder="1" applyAlignment="1" applyProtection="1">
      <alignment horizontal="left"/>
      <protection locked="0"/>
    </xf>
    <xf numFmtId="170" fontId="5" fillId="0" borderId="5" xfId="0" applyNumberFormat="1" applyFont="1" applyBorder="1"/>
    <xf numFmtId="0" fontId="0" fillId="0" borderId="0" xfId="0" applyAlignment="1">
      <alignment horizontal="right"/>
    </xf>
    <xf numFmtId="0" fontId="17" fillId="0" borderId="0" xfId="0" applyFont="1"/>
    <xf numFmtId="0" fontId="17" fillId="15" borderId="0" xfId="0" applyFont="1" applyFill="1"/>
    <xf numFmtId="10" fontId="23" fillId="16" borderId="70" xfId="3" applyNumberFormat="1" applyFont="1" applyFill="1" applyBorder="1"/>
    <xf numFmtId="10" fontId="23" fillId="0" borderId="70" xfId="3" applyNumberFormat="1" applyFont="1" applyBorder="1"/>
    <xf numFmtId="0" fontId="18" fillId="0" borderId="0" xfId="3" applyFont="1"/>
    <xf numFmtId="38" fontId="5" fillId="17" borderId="8" xfId="0" applyNumberFormat="1" applyFont="1" applyFill="1" applyBorder="1"/>
    <xf numFmtId="38" fontId="3" fillId="17" borderId="0" xfId="0" applyNumberFormat="1" applyFont="1" applyFill="1"/>
    <xf numFmtId="38" fontId="6" fillId="17" borderId="0" xfId="0" applyNumberFormat="1" applyFont="1" applyFill="1" applyAlignment="1">
      <alignment horizontal="left"/>
    </xf>
    <xf numFmtId="38" fontId="3" fillId="17" borderId="0" xfId="0" applyNumberFormat="1" applyFont="1" applyFill="1" applyAlignment="1">
      <alignment horizontal="center"/>
    </xf>
    <xf numFmtId="38" fontId="3" fillId="17" borderId="2" xfId="0" applyNumberFormat="1" applyFont="1" applyFill="1" applyBorder="1" applyAlignment="1">
      <alignment horizontal="right"/>
    </xf>
    <xf numFmtId="0" fontId="36" fillId="0" borderId="0" xfId="8"/>
    <xf numFmtId="49" fontId="17" fillId="0" borderId="0" xfId="3" applyNumberFormat="1"/>
    <xf numFmtId="8" fontId="17" fillId="0" borderId="0" xfId="2" applyFont="1" applyFill="1" applyBorder="1" applyAlignment="1"/>
    <xf numFmtId="0" fontId="17" fillId="18" borderId="0" xfId="3" applyFill="1"/>
    <xf numFmtId="168" fontId="17" fillId="18" borderId="0" xfId="3" applyNumberFormat="1" applyFill="1"/>
    <xf numFmtId="8" fontId="17" fillId="18" borderId="0" xfId="2" applyFont="1" applyFill="1" applyBorder="1" applyAlignment="1"/>
    <xf numFmtId="0" fontId="17" fillId="18" borderId="0" xfId="0" applyFont="1" applyFill="1"/>
    <xf numFmtId="0" fontId="17" fillId="5" borderId="0" xfId="3" applyFill="1"/>
    <xf numFmtId="38" fontId="3" fillId="19" borderId="0" xfId="0" applyNumberFormat="1" applyFont="1" applyFill="1" applyAlignment="1">
      <alignment horizontal="right"/>
    </xf>
    <xf numFmtId="38" fontId="3" fillId="19" borderId="0" xfId="0" applyNumberFormat="1" applyFont="1" applyFill="1" applyAlignment="1">
      <alignment horizontal="center"/>
    </xf>
    <xf numFmtId="38" fontId="3" fillId="19" borderId="71" xfId="0" applyNumberFormat="1" applyFont="1" applyFill="1" applyBorder="1" applyAlignment="1">
      <alignment horizontal="center"/>
    </xf>
    <xf numFmtId="165" fontId="23" fillId="0" borderId="72" xfId="3" applyNumberFormat="1" applyFont="1" applyBorder="1"/>
    <xf numFmtId="0" fontId="17" fillId="20" borderId="0" xfId="3" applyFill="1"/>
    <xf numFmtId="38" fontId="3" fillId="21" borderId="0" xfId="0" applyNumberFormat="1" applyFont="1" applyFill="1" applyAlignment="1">
      <alignment horizontal="right"/>
    </xf>
    <xf numFmtId="38" fontId="3" fillId="21" borderId="0" xfId="0" applyNumberFormat="1" applyFont="1" applyFill="1" applyAlignment="1">
      <alignment horizontal="center"/>
    </xf>
    <xf numFmtId="0" fontId="3" fillId="22" borderId="0" xfId="0" applyFont="1" applyFill="1" applyAlignment="1">
      <alignment horizontal="right" wrapText="1"/>
    </xf>
    <xf numFmtId="38" fontId="3" fillId="22" borderId="0" xfId="0" applyNumberFormat="1" applyFont="1" applyFill="1" applyAlignment="1">
      <alignment horizontal="center"/>
    </xf>
    <xf numFmtId="0" fontId="37" fillId="0" borderId="0" xfId="0" applyFont="1"/>
    <xf numFmtId="10" fontId="38" fillId="23" borderId="73" xfId="0" applyNumberFormat="1" applyFont="1" applyFill="1" applyBorder="1"/>
    <xf numFmtId="10" fontId="38" fillId="24" borderId="73" xfId="0" applyNumberFormat="1" applyFont="1" applyFill="1" applyBorder="1"/>
    <xf numFmtId="10" fontId="38" fillId="0" borderId="73" xfId="0" applyNumberFormat="1" applyFont="1" applyBorder="1"/>
    <xf numFmtId="0" fontId="39" fillId="0" borderId="74" xfId="0" applyFont="1" applyBorder="1"/>
    <xf numFmtId="0" fontId="38" fillId="24" borderId="73" xfId="0" applyFont="1" applyFill="1" applyBorder="1"/>
    <xf numFmtId="0" fontId="38" fillId="0" borderId="73" xfId="0" applyFont="1" applyBorder="1"/>
    <xf numFmtId="8" fontId="17" fillId="14" borderId="0" xfId="2" applyFont="1" applyFill="1" applyBorder="1" applyAlignment="1"/>
    <xf numFmtId="38" fontId="3" fillId="5" borderId="6" xfId="0" applyNumberFormat="1" applyFont="1" applyFill="1" applyBorder="1" applyProtection="1">
      <protection locked="0"/>
    </xf>
    <xf numFmtId="38" fontId="3" fillId="5" borderId="7" xfId="0" applyNumberFormat="1" applyFont="1" applyFill="1" applyBorder="1" applyProtection="1">
      <protection locked="0"/>
    </xf>
    <xf numFmtId="38" fontId="3" fillId="5" borderId="0" xfId="0" applyNumberFormat="1" applyFont="1" applyFill="1" applyProtection="1">
      <protection locked="0"/>
    </xf>
    <xf numFmtId="40" fontId="3" fillId="0" borderId="7" xfId="0" applyNumberFormat="1" applyFont="1" applyBorder="1" applyAlignment="1" applyProtection="1">
      <alignment horizontal="center"/>
      <protection locked="0"/>
    </xf>
    <xf numFmtId="40" fontId="3" fillId="5" borderId="7" xfId="0" applyNumberFormat="1" applyFont="1" applyFill="1" applyBorder="1" applyAlignment="1" applyProtection="1">
      <alignment horizontal="center"/>
      <protection locked="0"/>
    </xf>
    <xf numFmtId="38" fontId="3" fillId="5" borderId="0" xfId="0" applyNumberFormat="1" applyFont="1" applyFill="1" applyAlignment="1" applyProtection="1">
      <alignment horizontal="center"/>
      <protection locked="0"/>
    </xf>
    <xf numFmtId="38" fontId="3" fillId="5" borderId="7" xfId="0" applyNumberFormat="1" applyFont="1" applyFill="1" applyBorder="1" applyAlignment="1" applyProtection="1">
      <alignment horizontal="center"/>
      <protection locked="0"/>
    </xf>
    <xf numFmtId="38" fontId="3" fillId="0" borderId="0" xfId="0" applyNumberFormat="1" applyFont="1" applyAlignment="1" applyProtection="1">
      <alignment horizontal="center"/>
      <protection locked="0"/>
    </xf>
    <xf numFmtId="38" fontId="3" fillId="0" borderId="2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right" wrapText="1"/>
    </xf>
    <xf numFmtId="38" fontId="3" fillId="19" borderId="2" xfId="0" applyNumberFormat="1" applyFont="1" applyFill="1" applyBorder="1" applyAlignment="1">
      <alignment horizontal="center"/>
    </xf>
    <xf numFmtId="38" fontId="3" fillId="21" borderId="2" xfId="0" applyNumberFormat="1" applyFont="1" applyFill="1" applyBorder="1" applyAlignment="1">
      <alignment horizontal="center"/>
    </xf>
    <xf numFmtId="38" fontId="3" fillId="22" borderId="2" xfId="0" applyNumberFormat="1" applyFont="1" applyFill="1" applyBorder="1" applyAlignment="1">
      <alignment horizontal="center"/>
    </xf>
    <xf numFmtId="38" fontId="3" fillId="0" borderId="7" xfId="0" applyNumberFormat="1" applyFont="1" applyBorder="1" applyAlignment="1" applyProtection="1">
      <alignment horizontal="right"/>
      <protection locked="0"/>
    </xf>
    <xf numFmtId="38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38" fontId="3" fillId="0" borderId="0" xfId="0" applyNumberFormat="1" applyFont="1" applyAlignment="1" applyProtection="1">
      <alignment wrapText="1"/>
      <protection locked="0"/>
    </xf>
    <xf numFmtId="38" fontId="8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8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38" fontId="3" fillId="0" borderId="0" xfId="5" applyNumberFormat="1" applyFont="1" applyProtection="1">
      <protection locked="0"/>
    </xf>
    <xf numFmtId="0" fontId="3" fillId="0" borderId="0" xfId="5" applyFont="1" applyAlignment="1" applyProtection="1">
      <alignment horizontal="right"/>
      <protection locked="0"/>
    </xf>
    <xf numFmtId="0" fontId="3" fillId="0" borderId="0" xfId="5" applyFont="1" applyProtection="1">
      <protection locked="0"/>
    </xf>
    <xf numFmtId="38" fontId="3" fillId="6" borderId="0" xfId="5" applyNumberFormat="1" applyFont="1" applyFill="1" applyAlignment="1" applyProtection="1">
      <alignment horizontal="right"/>
      <protection locked="0"/>
    </xf>
    <xf numFmtId="0" fontId="3" fillId="6" borderId="0" xfId="5" applyFont="1" applyFill="1" applyProtection="1">
      <protection locked="0"/>
    </xf>
    <xf numFmtId="38" fontId="3" fillId="0" borderId="0" xfId="5" applyNumberFormat="1" applyFont="1" applyAlignment="1" applyProtection="1">
      <alignment horizontal="right"/>
      <protection locked="0"/>
    </xf>
    <xf numFmtId="0" fontId="3" fillId="6" borderId="0" xfId="0" applyFont="1" applyFill="1" applyProtection="1">
      <protection locked="0"/>
    </xf>
    <xf numFmtId="38" fontId="8" fillId="0" borderId="0" xfId="0" applyNumberFormat="1" applyFont="1" applyAlignment="1" applyProtection="1">
      <alignment horizontal="right"/>
      <protection locked="0"/>
    </xf>
    <xf numFmtId="38" fontId="3" fillId="0" borderId="8" xfId="0" applyNumberFormat="1" applyFont="1" applyBorder="1" applyProtection="1">
      <protection locked="0"/>
    </xf>
    <xf numFmtId="38" fontId="3" fillId="0" borderId="15" xfId="0" applyNumberFormat="1" applyFont="1" applyBorder="1" applyProtection="1">
      <protection locked="0"/>
    </xf>
    <xf numFmtId="38" fontId="3" fillId="0" borderId="5" xfId="0" applyNumberFormat="1" applyFont="1" applyBorder="1" applyProtection="1">
      <protection locked="0"/>
    </xf>
    <xf numFmtId="38" fontId="6" fillId="0" borderId="5" xfId="0" applyNumberFormat="1" applyFont="1" applyBorder="1" applyAlignment="1" applyProtection="1">
      <alignment horizontal="left"/>
      <protection locked="0"/>
    </xf>
    <xf numFmtId="38" fontId="6" fillId="0" borderId="5" xfId="0" applyNumberFormat="1" applyFont="1" applyBorder="1" applyAlignment="1" applyProtection="1">
      <alignment horizontal="right"/>
      <protection locked="0"/>
    </xf>
    <xf numFmtId="38" fontId="3" fillId="0" borderId="1" xfId="0" applyNumberFormat="1" applyFont="1" applyBorder="1" applyProtection="1">
      <protection locked="0"/>
    </xf>
    <xf numFmtId="166" fontId="3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38" fontId="5" fillId="0" borderId="0" xfId="0" applyNumberFormat="1" applyFont="1" applyAlignment="1" applyProtection="1">
      <alignment horizontal="right"/>
      <protection locked="0"/>
    </xf>
    <xf numFmtId="38" fontId="5" fillId="0" borderId="35" xfId="5" applyNumberFormat="1" applyFont="1" applyBorder="1" applyAlignment="1">
      <alignment horizontal="center"/>
    </xf>
    <xf numFmtId="38" fontId="5" fillId="0" borderId="36" xfId="5" applyNumberFormat="1" applyFont="1" applyBorder="1" applyAlignment="1">
      <alignment horizontal="center"/>
    </xf>
    <xf numFmtId="38" fontId="5" fillId="0" borderId="37" xfId="5" applyNumberFormat="1" applyFont="1" applyBorder="1" applyAlignment="1">
      <alignment horizontal="center"/>
    </xf>
    <xf numFmtId="38" fontId="3" fillId="4" borderId="34" xfId="0" applyNumberFormat="1" applyFont="1" applyFill="1" applyBorder="1" applyAlignment="1">
      <alignment horizontal="center"/>
    </xf>
    <xf numFmtId="38" fontId="3" fillId="4" borderId="5" xfId="0" applyNumberFormat="1" applyFont="1" applyFill="1" applyBorder="1" applyAlignment="1">
      <alignment horizontal="center"/>
    </xf>
    <xf numFmtId="38" fontId="3" fillId="4" borderId="31" xfId="0" applyNumberFormat="1" applyFont="1" applyFill="1" applyBorder="1" applyAlignment="1">
      <alignment horizontal="center"/>
    </xf>
    <xf numFmtId="38" fontId="3" fillId="0" borderId="7" xfId="0" applyNumberFormat="1" applyFont="1" applyBorder="1" applyAlignment="1">
      <alignment horizontal="center"/>
    </xf>
    <xf numFmtId="38" fontId="3" fillId="0" borderId="19" xfId="0" applyNumberFormat="1" applyFont="1" applyBorder="1" applyAlignment="1">
      <alignment horizontal="center"/>
    </xf>
    <xf numFmtId="38" fontId="4" fillId="0" borderId="15" xfId="0" applyNumberFormat="1" applyFont="1" applyBorder="1" applyAlignment="1">
      <alignment horizontal="left" wrapText="1"/>
    </xf>
    <xf numFmtId="38" fontId="4" fillId="0" borderId="5" xfId="0" applyNumberFormat="1" applyFont="1" applyBorder="1" applyAlignment="1">
      <alignment horizontal="left" wrapText="1"/>
    </xf>
    <xf numFmtId="38" fontId="4" fillId="0" borderId="16" xfId="0" applyNumberFormat="1" applyFont="1" applyBorder="1" applyAlignment="1">
      <alignment horizontal="left" wrapText="1"/>
    </xf>
    <xf numFmtId="38" fontId="5" fillId="0" borderId="8" xfId="0" applyNumberFormat="1" applyFont="1" applyBorder="1" applyAlignment="1">
      <alignment horizontal="right"/>
    </xf>
    <xf numFmtId="38" fontId="5" fillId="0" borderId="0" xfId="0" applyNumberFormat="1" applyFont="1" applyAlignment="1">
      <alignment horizontal="right"/>
    </xf>
    <xf numFmtId="38" fontId="3" fillId="3" borderId="10" xfId="0" applyNumberFormat="1" applyFont="1" applyFill="1" applyBorder="1" applyAlignment="1" applyProtection="1">
      <alignment horizontal="left"/>
      <protection locked="0"/>
    </xf>
    <xf numFmtId="38" fontId="3" fillId="3" borderId="14" xfId="0" applyNumberFormat="1" applyFont="1" applyFill="1" applyBorder="1" applyAlignment="1" applyProtection="1">
      <alignment horizontal="left"/>
      <protection locked="0"/>
    </xf>
    <xf numFmtId="38" fontId="3" fillId="0" borderId="13" xfId="0" applyNumberFormat="1" applyFont="1" applyBorder="1" applyAlignment="1" applyProtection="1">
      <alignment horizontal="center"/>
      <protection locked="0"/>
    </xf>
    <xf numFmtId="38" fontId="3" fillId="0" borderId="13" xfId="0" applyNumberFormat="1" applyFont="1" applyBorder="1" applyAlignment="1" applyProtection="1">
      <alignment horizontal="left"/>
      <protection locked="0"/>
    </xf>
  </cellXfs>
  <cellStyles count="9">
    <cellStyle name="Comma" xfId="1" builtinId="3"/>
    <cellStyle name="Currency" xfId="2" builtinId="4"/>
    <cellStyle name="Hyperlink" xfId="8" builtinId="8"/>
    <cellStyle name="Normal" xfId="0" builtinId="0"/>
    <cellStyle name="Normal 2" xfId="3" xr:uid="{00000000-0005-0000-0000-000004000000}"/>
    <cellStyle name="Normal 2 2" xfId="4" xr:uid="{00000000-0005-0000-0000-000005000000}"/>
    <cellStyle name="Normal 2 2 2" xfId="6" xr:uid="{00000000-0005-0000-0000-000006000000}"/>
    <cellStyle name="Normal_REVISED NSF BUDGET 2 YEAR" xfId="5" xr:uid="{00000000-0005-0000-0000-000007000000}"/>
    <cellStyle name="Percent" xfId="7" builtinId="5"/>
  </cellStyles>
  <dxfs count="10">
    <dxf>
      <fill>
        <patternFill patternType="none">
          <fgColor indexed="64"/>
          <bgColor indexed="65"/>
        </patternFill>
      </fill>
      <border outline="0">
        <left style="thin">
          <color rgb="FFC0504D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font>
        <color rgb="FF000000"/>
        <name val="Arial"/>
      </font>
      <numFmt numFmtId="14" formatCode="0.00%"/>
      <fill>
        <patternFill patternType="solid">
          <fgColor rgb="FF000000"/>
          <bgColor rgb="FFFFFF00"/>
        </patternFill>
      </fill>
      <border diagonalUp="0" diagonalDown="0" outline="0"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numFmt numFmtId="14" formatCode="0.00%"/>
    </dxf>
    <dxf>
      <numFmt numFmtId="19" formatCode="m/d/yyyy"/>
      <fill>
        <patternFill patternType="none">
          <fgColor indexed="64"/>
          <bgColor indexed="65"/>
        </patternFill>
      </fill>
    </dxf>
    <dxf>
      <numFmt numFmtId="14" formatCode="0.00%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476250</xdr:colOff>
      <xdr:row>2</xdr:row>
      <xdr:rowOff>57150</xdr:rowOff>
    </xdr:from>
    <xdr:to>
      <xdr:col>25</xdr:col>
      <xdr:colOff>28575</xdr:colOff>
      <xdr:row>31</xdr:row>
      <xdr:rowOff>39672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3F02529-5C5D-4CD8-AFF2-878D1F9A8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381000"/>
          <a:ext cx="7477125" cy="467834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</xdr:row>
      <xdr:rowOff>9525</xdr:rowOff>
    </xdr:from>
    <xdr:to>
      <xdr:col>12</xdr:col>
      <xdr:colOff>265334</xdr:colOff>
      <xdr:row>40</xdr:row>
      <xdr:rowOff>51972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D297744-EF99-7630-3D81-88C8A77FB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2075" y="333375"/>
          <a:ext cx="6218459" cy="6195597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41</xdr:row>
      <xdr:rowOff>76200</xdr:rowOff>
    </xdr:from>
    <xdr:to>
      <xdr:col>12</xdr:col>
      <xdr:colOff>120528</xdr:colOff>
      <xdr:row>80</xdr:row>
      <xdr:rowOff>71032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541BA9-B07B-5CD1-D47C-ACAC37D65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4475" y="6715125"/>
          <a:ext cx="5921253" cy="6309907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81</xdr:row>
      <xdr:rowOff>0</xdr:rowOff>
    </xdr:from>
    <xdr:to>
      <xdr:col>12</xdr:col>
      <xdr:colOff>229132</xdr:colOff>
      <xdr:row>101</xdr:row>
      <xdr:rowOff>61246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8018619-DEA4-C426-3458-845DEC319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09700" y="13115925"/>
          <a:ext cx="6134632" cy="32997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M\USDA-CSREES%205-YEAR%20-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YEAR 1"/>
      <sheetName val="YEAR 2"/>
      <sheetName val="YEAR 3"/>
      <sheetName val="YEAR 4"/>
      <sheetName val="YEAR 5"/>
      <sheetName val="CUMULATIV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ariables" displayName="Variables" ref="A122:B126" totalsRowShown="0">
  <autoFilter ref="A122:B126" xr:uid="{00000000-0009-0000-0100-000001000000}"/>
  <sortState xmlns:xlrd2="http://schemas.microsoft.com/office/spreadsheetml/2017/richdata2" ref="A92:B93">
    <sortCondition ref="A20:A22"/>
  </sortState>
  <tableColumns count="2">
    <tableColumn id="1" xr3:uid="{00000000-0010-0000-0000-000001000000}" name="Constant"/>
    <tableColumn id="2" xr3:uid="{00000000-0010-0000-0000-000002000000}" name="Value" dataDxfId="9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iscalYrs" displayName="FiscalYrs" ref="A1:B9" totalsRowShown="0">
  <autoFilter ref="A1:B9" xr:uid="{00000000-0009-0000-0100-000002000000}"/>
  <tableColumns count="2">
    <tableColumn id="2" xr3:uid="{00000000-0010-0000-0100-000002000000}" name="Start Date" dataDxfId="8" dataCellStyle="Normal 2"/>
    <tableColumn id="1" xr3:uid="{00000000-0010-0000-0100-000001000000}" name="Year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CBRTable" displayName="CBRTable" ref="A102:I112" totalsRowShown="0">
  <autoFilter ref="A102:I112" xr:uid="{00000000-0009-0000-0100-000004000000}"/>
  <tableColumns count="9">
    <tableColumn id="1" xr3:uid="{00000000-0010-0000-0200-000001000000}" name="Employee Classification"/>
    <tableColumn id="3" xr3:uid="{00000000-0010-0000-0200-000003000000}" name="Vacation Leave Accural" dataDxfId="7" dataCellStyle="Normal 2"/>
    <tableColumn id="4" xr3:uid="{00000000-0010-0000-0200-000004000000}" name="2025-2026" dataDxfId="6" dataCellStyle="Normal 2"/>
    <tableColumn id="5" xr3:uid="{00000000-0010-0000-0200-000005000000}" name="2026-2027" dataDxfId="5"/>
    <tableColumn id="6" xr3:uid="{00000000-0010-0000-0200-000006000000}" name="2027-2028" dataDxfId="4"/>
    <tableColumn id="7" xr3:uid="{00000000-0010-0000-0200-000007000000}" name="2028-2029" dataDxfId="3"/>
    <tableColumn id="8" xr3:uid="{00000000-0010-0000-0200-000008000000}" name="2029-2030" dataDxfId="2"/>
    <tableColumn id="2" xr3:uid="{00000000-0010-0000-0200-000002000000}" name="2030-2031" dataDxfId="1"/>
    <tableColumn id="9" xr3:uid="{00000000-0010-0000-0200-000009000000}" name="BC" dataDxfId="0" dataCellStyle="Comma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hyperlink" Target="https://hrms.ucr.edu/app/home/jobCode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s://hrms.ucr.edu/app/home/jobCode" TargetMode="External"/><Relationship Id="rId1" Type="http://schemas.openxmlformats.org/officeDocument/2006/relationships/hyperlink" Target="https://www.ucop.edu/academic-personnel-programs/compensation/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hr.ucr.edu/document/student-assistant-salary-structur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5"/>
  <sheetViews>
    <sheetView showGridLines="0" topLeftCell="A11" zoomScale="85" zoomScaleNormal="85" workbookViewId="0">
      <selection activeCell="E46" sqref="E46"/>
    </sheetView>
  </sheetViews>
  <sheetFormatPr defaultColWidth="9.33203125" defaultRowHeight="13.8"/>
  <cols>
    <col min="1" max="1" width="7.88671875" style="1" bestFit="1" customWidth="1"/>
    <col min="2" max="2" width="47" style="10" customWidth="1"/>
    <col min="3" max="4" width="12.44140625" style="10" customWidth="1"/>
    <col min="5" max="9" width="9.5546875" style="10" customWidth="1"/>
    <col min="10" max="12" width="12.44140625" style="10" customWidth="1"/>
    <col min="13" max="17" width="12.44140625" style="6" customWidth="1"/>
    <col min="18" max="18" width="15.5546875" style="16" customWidth="1"/>
    <col min="19" max="19" width="6.44140625" style="318" customWidth="1"/>
    <col min="20" max="20" width="18" style="318" bestFit="1" customWidth="1"/>
    <col min="21" max="21" width="9.33203125" style="319"/>
    <col min="22" max="16384" width="9.33203125" style="1"/>
  </cols>
  <sheetData>
    <row r="1" spans="1:19" ht="15.6">
      <c r="A1" s="202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54"/>
      <c r="Q1" s="355"/>
      <c r="R1" s="316"/>
      <c r="S1" s="317"/>
    </row>
    <row r="2" spans="1:19" ht="54.75" customHeight="1">
      <c r="A2" s="202"/>
      <c r="B2" s="356" t="s">
        <v>1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8"/>
      <c r="R2" s="317"/>
      <c r="S2" s="317"/>
    </row>
    <row r="3" spans="1:19" ht="17.25" customHeight="1">
      <c r="A3" s="202"/>
      <c r="B3" s="8" t="s">
        <v>2</v>
      </c>
      <c r="F3" s="23"/>
      <c r="G3" s="23"/>
      <c r="H3" s="23"/>
      <c r="I3" s="23"/>
      <c r="J3" s="23"/>
      <c r="L3" s="1"/>
      <c r="M3" s="1"/>
      <c r="N3" s="1"/>
      <c r="O3" s="1"/>
      <c r="P3" s="1"/>
      <c r="Q3" s="15"/>
    </row>
    <row r="4" spans="1:19" ht="17.25" customHeight="1">
      <c r="A4" s="202"/>
      <c r="B4" s="208" t="s">
        <v>3</v>
      </c>
      <c r="C4" s="305" t="s">
        <v>4</v>
      </c>
      <c r="F4" s="23"/>
      <c r="G4" s="23"/>
      <c r="H4" s="23"/>
      <c r="I4" s="23"/>
      <c r="J4" s="23"/>
      <c r="L4" s="1"/>
      <c r="M4" s="1"/>
      <c r="N4" s="1"/>
      <c r="O4" s="1"/>
      <c r="P4" s="1"/>
      <c r="Q4" s="15"/>
    </row>
    <row r="5" spans="1:19" ht="17.25" customHeight="1">
      <c r="A5" s="202"/>
      <c r="B5" s="273" t="s">
        <v>5</v>
      </c>
      <c r="C5" s="274"/>
      <c r="D5" s="274"/>
      <c r="E5" s="274"/>
      <c r="F5" s="275"/>
      <c r="G5" s="275"/>
      <c r="H5" s="275"/>
      <c r="I5" s="275"/>
      <c r="J5" s="275"/>
      <c r="K5" s="274"/>
      <c r="L5" s="276" t="str">
        <f>TABLES!C11</f>
        <v>2025-2026</v>
      </c>
      <c r="M5" s="276" t="str">
        <f>TABLES!D11</f>
        <v>2026-2027</v>
      </c>
      <c r="N5" s="276" t="str">
        <f>TABLES!E11</f>
        <v>2027-2028</v>
      </c>
      <c r="O5" s="276" t="str">
        <f>TABLES!F11</f>
        <v>2028-2029</v>
      </c>
      <c r="P5" s="276" t="str">
        <f>TABLES!G11</f>
        <v>2029-2030</v>
      </c>
      <c r="Q5" s="277"/>
    </row>
    <row r="6" spans="1:19" ht="17.25" customHeight="1">
      <c r="A6" s="202"/>
      <c r="B6" s="28" t="s">
        <v>6</v>
      </c>
      <c r="C6" s="134"/>
      <c r="D6" s="142"/>
      <c r="E6" s="143" t="s">
        <v>7</v>
      </c>
      <c r="F6" s="143" t="s">
        <v>8</v>
      </c>
      <c r="G6" s="143" t="s">
        <v>9</v>
      </c>
      <c r="H6" s="144" t="s">
        <v>10</v>
      </c>
      <c r="I6" s="144" t="s">
        <v>11</v>
      </c>
      <c r="J6" s="27"/>
      <c r="K6" s="27"/>
      <c r="L6" s="135" t="s">
        <v>7</v>
      </c>
      <c r="M6" s="135" t="s">
        <v>8</v>
      </c>
      <c r="N6" s="135" t="s">
        <v>9</v>
      </c>
      <c r="O6" s="135" t="s">
        <v>10</v>
      </c>
      <c r="P6" s="135" t="s">
        <v>11</v>
      </c>
      <c r="Q6" s="130" t="s">
        <v>12</v>
      </c>
    </row>
    <row r="7" spans="1:19" ht="17.25" customHeight="1">
      <c r="A7" s="203" t="str">
        <f>VLOOKUP(B7,TABLES!$A$12:$I$99,9,FALSE)</f>
        <v>BC14</v>
      </c>
      <c r="B7" s="303" t="s">
        <v>13</v>
      </c>
      <c r="C7" s="304"/>
      <c r="D7" s="5" t="s">
        <v>14</v>
      </c>
      <c r="E7" s="309">
        <v>0</v>
      </c>
      <c r="F7" s="308">
        <v>0</v>
      </c>
      <c r="G7" s="308">
        <v>0</v>
      </c>
      <c r="H7" s="308">
        <v>0</v>
      </c>
      <c r="I7" s="308">
        <v>0</v>
      </c>
      <c r="J7" s="136"/>
      <c r="K7" s="145" t="s">
        <v>15</v>
      </c>
      <c r="L7" s="262">
        <f>ROUND(($C$9/9)*SUM(E7:E9),0)</f>
        <v>0</v>
      </c>
      <c r="M7" s="262">
        <f>ROUND((($C$9/9)*1.03)*SUM(F7:F9),0)</f>
        <v>0</v>
      </c>
      <c r="N7" s="262">
        <f>ROUND((($C$9/9)*1.06)*SUM(G7:G9),0)</f>
        <v>0</v>
      </c>
      <c r="O7" s="262">
        <f>ROUND((($C$9/9)*1.09)*SUM(H7:H9),0)</f>
        <v>0</v>
      </c>
      <c r="P7" s="262">
        <f>ROUND((($C$9/9)*1.12)*SUM(I7:I9),0)</f>
        <v>0</v>
      </c>
      <c r="Q7" s="36">
        <f>SUM(L7:P7)</f>
        <v>0</v>
      </c>
    </row>
    <row r="8" spans="1:19" ht="17.25" customHeight="1">
      <c r="A8" s="203" t="str">
        <f>VLOOKUP(B8,TABLES!$A$102:$I$112,9,FALSE)</f>
        <v>BC20</v>
      </c>
      <c r="B8" s="13" t="str">
        <f>VLOOKUP(B7,TABLES!$A$12:$B$99,2,FALSE)</f>
        <v>Faculty Summer</v>
      </c>
      <c r="D8" s="6" t="s">
        <v>16</v>
      </c>
      <c r="E8" s="308">
        <v>0</v>
      </c>
      <c r="F8" s="308">
        <v>0</v>
      </c>
      <c r="G8" s="308">
        <v>0</v>
      </c>
      <c r="H8" s="308">
        <v>0</v>
      </c>
      <c r="I8" s="308">
        <v>0</v>
      </c>
      <c r="J8" s="23"/>
      <c r="K8" s="6" t="s">
        <v>17</v>
      </c>
      <c r="L8" s="11">
        <f>ROUND(L7*INDEX(TABLES!$C$103:$H$112,MATCH($B$8,TABLES!$A$103:$A$112,0),MATCH(L$5,TABLES!$C$102:$H$102,0))+L7*VLOOKUP($B$8,TABLES!$A$103:$B$112,2,FALSE),0)+IF($C$4="Yes",0,(L7*TABLES!B138))</f>
        <v>0</v>
      </c>
      <c r="M8" s="11">
        <f>ROUND(M7*INDEX(TABLES!$C$103:$H$112,MATCH($B$8,TABLES!$A$103:$A$112,0),MATCH(M$5,TABLES!$C$102:$H$102,0))+M7*VLOOKUP($B$8,TABLES!$A$103:$B$112,2,FALSE),0)+IF($C$4="Yes",0,(M7*TABLES!B138))</f>
        <v>0</v>
      </c>
      <c r="N8" s="11">
        <f>ROUND(N7*INDEX(TABLES!$C$103:$H$112,MATCH($B$8,TABLES!$A$103:$A$112,0),MATCH(N$5,TABLES!$C$102:$H$102,0))+N7*VLOOKUP($B$8,TABLES!$A$103:$B$112,2,FALSE),0)+IF($C$4="Yes",0,(N7*TABLES!B138))</f>
        <v>0</v>
      </c>
      <c r="O8" s="11">
        <f>ROUND(O7*INDEX(TABLES!$C$103:$H$112,MATCH($B$8,TABLES!$A$103:$A$112,0),MATCH(O$5,TABLES!$C$102:$H$102,0))+O7*VLOOKUP($B$8,TABLES!$A$103:$B$112,2,FALSE),0)+IF($C$4="Yes",0,(O7*TABLES!B138))</f>
        <v>0</v>
      </c>
      <c r="P8" s="11">
        <f>ROUND(P7*INDEX(TABLES!$C$103:$H$112,MATCH($B$8,TABLES!$A$103:$A$112,0),MATCH(P$5,TABLES!$C$102:$H$102,0))+P7*VLOOKUP($B$8,TABLES!$A$103:$B$112,2,FALSE),0)+IF($C$4="Yes",0,(P7*TABLES!B138))</f>
        <v>0</v>
      </c>
      <c r="Q8" s="15">
        <f>SUM(L8:P8)</f>
        <v>0</v>
      </c>
    </row>
    <row r="9" spans="1:19" ht="17.25" customHeight="1">
      <c r="A9" s="202"/>
      <c r="B9" s="154" t="s">
        <v>18</v>
      </c>
      <c r="C9" s="305">
        <v>0</v>
      </c>
      <c r="D9" s="6" t="s">
        <v>19</v>
      </c>
      <c r="E9" s="308">
        <v>0</v>
      </c>
      <c r="F9" s="308">
        <v>0</v>
      </c>
      <c r="G9" s="308">
        <v>0</v>
      </c>
      <c r="H9" s="308">
        <v>0</v>
      </c>
      <c r="I9" s="308">
        <v>0</v>
      </c>
      <c r="J9" s="23"/>
      <c r="K9" s="286" t="s">
        <v>20</v>
      </c>
      <c r="L9" s="287">
        <f>SUM(L7:L8)</f>
        <v>0</v>
      </c>
      <c r="M9" s="287">
        <f t="shared" ref="M9:Q9" si="0">SUM(M7:M8)</f>
        <v>0</v>
      </c>
      <c r="N9" s="287">
        <f t="shared" si="0"/>
        <v>0</v>
      </c>
      <c r="O9" s="287">
        <f t="shared" si="0"/>
        <v>0</v>
      </c>
      <c r="P9" s="287">
        <f t="shared" si="0"/>
        <v>0</v>
      </c>
      <c r="Q9" s="288">
        <f t="shared" si="0"/>
        <v>0</v>
      </c>
    </row>
    <row r="10" spans="1:19" ht="17.25" customHeight="1">
      <c r="A10" s="202"/>
      <c r="B10" s="154" t="s">
        <v>21</v>
      </c>
      <c r="C10" s="305"/>
      <c r="F10" s="23"/>
      <c r="G10" s="23"/>
      <c r="H10" s="23"/>
      <c r="I10" s="23"/>
      <c r="J10" s="23"/>
      <c r="K10" s="16"/>
      <c r="L10" s="310"/>
      <c r="M10" s="310"/>
      <c r="N10" s="310"/>
      <c r="O10" s="310"/>
      <c r="P10" s="310"/>
      <c r="Q10" s="311"/>
    </row>
    <row r="11" spans="1:19" ht="16.95" customHeight="1">
      <c r="A11" s="202"/>
      <c r="B11" s="28" t="s">
        <v>22</v>
      </c>
      <c r="C11" s="134"/>
      <c r="D11" s="142"/>
      <c r="E11" s="143" t="s">
        <v>7</v>
      </c>
      <c r="F11" s="143" t="s">
        <v>8</v>
      </c>
      <c r="G11" s="143" t="s">
        <v>9</v>
      </c>
      <c r="H11" s="144" t="s">
        <v>10</v>
      </c>
      <c r="I11" s="144" t="s">
        <v>11</v>
      </c>
      <c r="J11" s="27"/>
      <c r="K11" s="27"/>
      <c r="L11" s="135" t="s">
        <v>7</v>
      </c>
      <c r="M11" s="135" t="s">
        <v>8</v>
      </c>
      <c r="N11" s="135" t="s">
        <v>9</v>
      </c>
      <c r="O11" s="135" t="s">
        <v>10</v>
      </c>
      <c r="P11" s="135" t="s">
        <v>11</v>
      </c>
      <c r="Q11" s="130" t="s">
        <v>12</v>
      </c>
    </row>
    <row r="12" spans="1:19" ht="17.25" customHeight="1">
      <c r="A12" s="203" t="str">
        <f>VLOOKUP(B12,TABLES!$A$12:$I$99,9,FALSE)</f>
        <v>BC14</v>
      </c>
      <c r="B12" s="303" t="s">
        <v>13</v>
      </c>
      <c r="C12" s="304"/>
      <c r="D12" s="5" t="s">
        <v>14</v>
      </c>
      <c r="E12" s="309">
        <v>0</v>
      </c>
      <c r="F12" s="308">
        <v>0</v>
      </c>
      <c r="G12" s="308">
        <v>0</v>
      </c>
      <c r="H12" s="308">
        <v>0</v>
      </c>
      <c r="I12" s="308">
        <v>0</v>
      </c>
      <c r="J12" s="136"/>
      <c r="K12" s="145" t="s">
        <v>15</v>
      </c>
      <c r="L12" s="262">
        <f>ROUND(($C$14/9)*SUM(E12:E14),0)</f>
        <v>0</v>
      </c>
      <c r="M12" s="262">
        <f>ROUND((($C$14/9)*1.03)*SUM(F12:F14),0)</f>
        <v>0</v>
      </c>
      <c r="N12" s="262">
        <f>ROUND((($C$14/9)*1.06)*SUM(G12:G14),0)</f>
        <v>0</v>
      </c>
      <c r="O12" s="262">
        <f>ROUND((($C$14/9)*1.09)*SUM(H12:H14),0)</f>
        <v>0</v>
      </c>
      <c r="P12" s="262">
        <f>ROUND((($C$14/9)*1.12)*SUM(I12:I14),0)</f>
        <v>0</v>
      </c>
      <c r="Q12" s="36">
        <f>SUM(L12:P12)</f>
        <v>0</v>
      </c>
    </row>
    <row r="13" spans="1:19" ht="17.25" customHeight="1">
      <c r="A13" s="203" t="str">
        <f>VLOOKUP(B13,TABLES!$A$102:$I$112,9,FALSE)</f>
        <v>BC20</v>
      </c>
      <c r="B13" s="13" t="str">
        <f>VLOOKUP(B12,TABLES!$A$12:$B$99,2,FALSE)</f>
        <v>Faculty Summer</v>
      </c>
      <c r="D13" s="6" t="s">
        <v>16</v>
      </c>
      <c r="E13" s="308">
        <v>0</v>
      </c>
      <c r="F13" s="308">
        <v>0</v>
      </c>
      <c r="G13" s="308">
        <v>0</v>
      </c>
      <c r="H13" s="308">
        <v>0</v>
      </c>
      <c r="I13" s="308">
        <v>0</v>
      </c>
      <c r="J13" s="23"/>
      <c r="K13" s="6" t="s">
        <v>17</v>
      </c>
      <c r="L13" s="11">
        <f>ROUND(L12*INDEX(TABLES!$C$103:$H$112,MATCH($B$13,TABLES!$A$103:$A$112,0),MATCH(L$5,TABLES!$C$102:$H$102,0))+L12*VLOOKUP($B$13,TABLES!$A$103:$B$112,2,FALSE),0)+IF($C$4="Yes",0,(L12*TABLES!B138))</f>
        <v>0</v>
      </c>
      <c r="M13" s="11">
        <f>ROUND(M12*INDEX(TABLES!$C$103:$H$112,MATCH($B$13,TABLES!$A$103:$A$112,0),MATCH(M$5,TABLES!$C$102:$H$102,0))+M12*VLOOKUP($B$13,TABLES!$A$103:$B$112,2,FALSE),0)+IF($C$4="Yes",0,(M12*TABLES!B138))</f>
        <v>0</v>
      </c>
      <c r="N13" s="11">
        <f>ROUND(N12*INDEX(TABLES!$C$103:$H$112,MATCH($B$13,TABLES!$A$103:$A$112,0),MATCH(N$5,TABLES!$C$102:$H$102,0))+N12*VLOOKUP($B$13,TABLES!$A$103:$B$112,2,FALSE),0)+IF($C$4="Yes",0,(N12*TABLES!B138))</f>
        <v>0</v>
      </c>
      <c r="O13" s="11">
        <f>ROUND(O12*INDEX(TABLES!$C$103:$H$112,MATCH($B$13,TABLES!$A$103:$A$112,0),MATCH(O$5,TABLES!$C$102:$H$102,0))+O12*VLOOKUP($B$13,TABLES!$A$103:$B$112,2,FALSE),0)+IF($C$4="Yes",0,(O12*TABLES!B138))</f>
        <v>0</v>
      </c>
      <c r="P13" s="11">
        <f>ROUND(P12*INDEX(TABLES!$C$103:$H$112,MATCH($B$13,TABLES!$A$103:$A$112,0),MATCH(P$5,TABLES!$C$102:$H$102,0))+P12*VLOOKUP($B$13,TABLES!$A$103:$B$112,2,FALSE),0)+IF($C$4="Yes",0,(P12*TABLES!B138))</f>
        <v>0</v>
      </c>
      <c r="Q13" s="15">
        <f>SUM(L13:P13)</f>
        <v>0</v>
      </c>
    </row>
    <row r="14" spans="1:19" ht="17.25" customHeight="1">
      <c r="A14" s="202"/>
      <c r="B14" s="154" t="s">
        <v>18</v>
      </c>
      <c r="C14" s="305"/>
      <c r="D14" s="6" t="s">
        <v>19</v>
      </c>
      <c r="E14" s="308">
        <v>0</v>
      </c>
      <c r="F14" s="308">
        <v>0</v>
      </c>
      <c r="G14" s="308">
        <v>0</v>
      </c>
      <c r="H14" s="308">
        <v>0</v>
      </c>
      <c r="I14" s="308">
        <v>0</v>
      </c>
      <c r="J14" s="23"/>
      <c r="K14" s="286" t="s">
        <v>20</v>
      </c>
      <c r="L14" s="287">
        <f>SUM(L12:L13)</f>
        <v>0</v>
      </c>
      <c r="M14" s="287">
        <f t="shared" ref="M14" si="1">SUM(M12:M13)</f>
        <v>0</v>
      </c>
      <c r="N14" s="287">
        <f t="shared" ref="N14" si="2">SUM(N12:N13)</f>
        <v>0</v>
      </c>
      <c r="O14" s="287">
        <f t="shared" ref="O14" si="3">SUM(O12:O13)</f>
        <v>0</v>
      </c>
      <c r="P14" s="287">
        <f t="shared" ref="P14" si="4">SUM(P12:P13)</f>
        <v>0</v>
      </c>
      <c r="Q14" s="288">
        <f t="shared" ref="Q14" si="5">SUM(Q12:Q13)</f>
        <v>0</v>
      </c>
    </row>
    <row r="15" spans="1:19" ht="17.25" customHeight="1">
      <c r="A15" s="202"/>
      <c r="B15" s="8"/>
      <c r="F15" s="23"/>
      <c r="G15" s="23"/>
      <c r="H15" s="23"/>
      <c r="I15" s="23"/>
      <c r="J15" s="23"/>
      <c r="K15" s="16"/>
      <c r="L15" s="310"/>
      <c r="M15" s="310"/>
      <c r="N15" s="310"/>
      <c r="O15" s="310"/>
      <c r="P15" s="310"/>
      <c r="Q15" s="311"/>
    </row>
    <row r="16" spans="1:19" ht="17.25" customHeight="1">
      <c r="A16" s="202"/>
      <c r="B16" s="28" t="s">
        <v>23</v>
      </c>
      <c r="C16" s="134"/>
      <c r="D16" s="142"/>
      <c r="E16" s="143" t="s">
        <v>7</v>
      </c>
      <c r="F16" s="143" t="s">
        <v>8</v>
      </c>
      <c r="G16" s="143" t="s">
        <v>9</v>
      </c>
      <c r="H16" s="144" t="s">
        <v>10</v>
      </c>
      <c r="I16" s="144" t="s">
        <v>11</v>
      </c>
      <c r="J16" s="27"/>
      <c r="K16" s="27"/>
      <c r="L16" s="135" t="s">
        <v>7</v>
      </c>
      <c r="M16" s="135" t="s">
        <v>8</v>
      </c>
      <c r="N16" s="135" t="s">
        <v>9</v>
      </c>
      <c r="O16" s="135" t="s">
        <v>10</v>
      </c>
      <c r="P16" s="135" t="s">
        <v>11</v>
      </c>
      <c r="Q16" s="130" t="s">
        <v>12</v>
      </c>
    </row>
    <row r="17" spans="1:21" ht="17.25" customHeight="1">
      <c r="A17" s="203" t="str">
        <f>VLOOKUP(B17,TABLES!$A$12:$I$99,9,FALSE)</f>
        <v>BC14</v>
      </c>
      <c r="B17" s="139" t="s">
        <v>13</v>
      </c>
      <c r="C17" s="304"/>
      <c r="D17" s="5" t="s">
        <v>14</v>
      </c>
      <c r="E17" s="309">
        <v>0</v>
      </c>
      <c r="F17" s="308">
        <v>0</v>
      </c>
      <c r="G17" s="308">
        <v>0</v>
      </c>
      <c r="H17" s="308">
        <v>0</v>
      </c>
      <c r="I17" s="308">
        <v>0</v>
      </c>
      <c r="J17" s="136"/>
      <c r="K17" s="145" t="s">
        <v>15</v>
      </c>
      <c r="L17" s="262">
        <f>ROUND(($C$19/9)*SUM(E17:E19),0)</f>
        <v>0</v>
      </c>
      <c r="M17" s="262">
        <f>ROUND((($C$19/9)*1.03)*SUM(F17:F19),0)</f>
        <v>0</v>
      </c>
      <c r="N17" s="262">
        <f>ROUND((($C$19/9)*1.06)*SUM(G17:G19),0)</f>
        <v>0</v>
      </c>
      <c r="O17" s="262">
        <f>ROUND((($C$19/9)*1.09)*SUM(H17:H19),0)</f>
        <v>0</v>
      </c>
      <c r="P17" s="262">
        <f>ROUND((($C$19/9)*1.12)*SUM(I17:I19),0)</f>
        <v>0</v>
      </c>
      <c r="Q17" s="36">
        <f>SUM(L17:P17)</f>
        <v>0</v>
      </c>
    </row>
    <row r="18" spans="1:21" ht="17.25" customHeight="1">
      <c r="A18" s="203" t="str">
        <f>VLOOKUP(B18,TABLES!$A$102:$I$112,9,FALSE)</f>
        <v>BC20</v>
      </c>
      <c r="B18" s="13" t="str">
        <f>VLOOKUP(B17,TABLES!$A$12:$B$99,2,FALSE)</f>
        <v>Faculty Summer</v>
      </c>
      <c r="D18" s="6" t="s">
        <v>16</v>
      </c>
      <c r="E18" s="308">
        <v>0</v>
      </c>
      <c r="F18" s="308">
        <v>0</v>
      </c>
      <c r="G18" s="308">
        <v>0</v>
      </c>
      <c r="H18" s="308">
        <v>0</v>
      </c>
      <c r="I18" s="308">
        <v>0</v>
      </c>
      <c r="J18" s="23"/>
      <c r="K18" s="6" t="s">
        <v>17</v>
      </c>
      <c r="L18" s="11">
        <f>ROUND(L17*INDEX(TABLES!$C$103:$H$112,MATCH($B$18,TABLES!$A$103:$A$112,0),MATCH(L$5,TABLES!$C$102:$H$102,0))+L17*VLOOKUP($B$18,TABLES!$A$103:$B$112,2,FALSE),0)+IF($C$4="Yes",0,(L17*TABLES!B138))</f>
        <v>0</v>
      </c>
      <c r="M18" s="11">
        <f>ROUND(M17*INDEX(TABLES!$C$103:$H$112,MATCH($B$18,TABLES!$A$103:$A$112,0),MATCH(M$5,TABLES!$C$102:$H$102,0))+M17*VLOOKUP($B$18,TABLES!$A$103:$B$112,2,FALSE),0)+IF($C$4="Yes",0,(M17*TABLES!B138))</f>
        <v>0</v>
      </c>
      <c r="N18" s="11">
        <f>ROUND(N17*INDEX(TABLES!$C$103:$H$112,MATCH($B$18,TABLES!$A$103:$A$112,0),MATCH(N$5,TABLES!$C$102:$H$102,0))+N17*VLOOKUP($B$18,TABLES!$A$103:$B$112,2,FALSE),0)+IF($C$4="Yes",0,(N17*TABLES!B138))</f>
        <v>0</v>
      </c>
      <c r="O18" s="11">
        <f>ROUND(O17*INDEX(TABLES!$C$103:$H$112,MATCH($B$18,TABLES!$A$103:$A$112,0),MATCH(O$5,TABLES!$C$102:$H$102,0))+O17*VLOOKUP($B$18,TABLES!$A$103:$B$112,2,FALSE),0)+IF($C$4="Yes",0,(O17*TABLES!B138))</f>
        <v>0</v>
      </c>
      <c r="P18" s="11">
        <f>ROUND(P17*INDEX(TABLES!$C$103:$H$112,MATCH($B$18,TABLES!$A$103:$A$112,0),MATCH(P$5,TABLES!$C$102:$H$102,0))+P17*VLOOKUP($B$18,TABLES!$A$103:$B$112,2,FALSE),0)+IF($C$4="Yes",0,(P17*TABLES!B138))</f>
        <v>0</v>
      </c>
      <c r="Q18" s="15">
        <f>SUM(L18:P18)</f>
        <v>0</v>
      </c>
    </row>
    <row r="19" spans="1:21" ht="17.25" customHeight="1">
      <c r="A19" s="202"/>
      <c r="B19" s="154" t="s">
        <v>18</v>
      </c>
      <c r="C19" s="305"/>
      <c r="D19" s="6" t="s">
        <v>19</v>
      </c>
      <c r="E19" s="308">
        <v>0</v>
      </c>
      <c r="F19" s="308">
        <v>0</v>
      </c>
      <c r="G19" s="308">
        <v>0</v>
      </c>
      <c r="H19" s="308">
        <v>0</v>
      </c>
      <c r="I19" s="308">
        <v>0</v>
      </c>
      <c r="J19" s="23"/>
      <c r="K19" s="286" t="s">
        <v>20</v>
      </c>
      <c r="L19" s="287">
        <f>SUM(L17:L18)</f>
        <v>0</v>
      </c>
      <c r="M19" s="287">
        <f t="shared" ref="M19" si="6">SUM(M17:M18)</f>
        <v>0</v>
      </c>
      <c r="N19" s="287">
        <f t="shared" ref="N19" si="7">SUM(N17:N18)</f>
        <v>0</v>
      </c>
      <c r="O19" s="287">
        <f t="shared" ref="O19" si="8">SUM(O17:O18)</f>
        <v>0</v>
      </c>
      <c r="P19" s="287">
        <f t="shared" ref="P19" si="9">SUM(P17:P18)</f>
        <v>0</v>
      </c>
      <c r="Q19" s="288">
        <f t="shared" ref="Q19" si="10">SUM(Q17:Q18)</f>
        <v>0</v>
      </c>
    </row>
    <row r="20" spans="1:21" ht="17.25" customHeight="1">
      <c r="A20" s="202"/>
      <c r="B20" s="8"/>
      <c r="F20" s="23"/>
      <c r="G20" s="23"/>
      <c r="H20" s="23"/>
      <c r="I20" s="23"/>
      <c r="J20" s="23"/>
      <c r="K20" s="16"/>
      <c r="L20" s="310"/>
      <c r="M20" s="310"/>
      <c r="N20" s="310"/>
      <c r="O20" s="310"/>
      <c r="P20" s="310"/>
      <c r="Q20" s="311"/>
    </row>
    <row r="21" spans="1:21" ht="17.25" customHeight="1">
      <c r="A21" s="202"/>
      <c r="B21" s="28" t="s">
        <v>24</v>
      </c>
      <c r="C21" s="134"/>
      <c r="D21" s="142"/>
      <c r="E21" s="143" t="s">
        <v>7</v>
      </c>
      <c r="F21" s="143" t="s">
        <v>8</v>
      </c>
      <c r="G21" s="143" t="s">
        <v>9</v>
      </c>
      <c r="H21" s="144" t="s">
        <v>10</v>
      </c>
      <c r="I21" s="144" t="s">
        <v>11</v>
      </c>
      <c r="J21" s="27"/>
      <c r="K21" s="27"/>
      <c r="L21" s="135" t="s">
        <v>7</v>
      </c>
      <c r="M21" s="135" t="s">
        <v>8</v>
      </c>
      <c r="N21" s="135" t="s">
        <v>9</v>
      </c>
      <c r="O21" s="135" t="s">
        <v>10</v>
      </c>
      <c r="P21" s="135" t="s">
        <v>11</v>
      </c>
      <c r="Q21" s="130" t="s">
        <v>12</v>
      </c>
    </row>
    <row r="22" spans="1:21" ht="17.25" customHeight="1">
      <c r="A22" s="203" t="str">
        <f>VLOOKUP(B22,TABLES!$A$12:$I$99,9,FALSE)</f>
        <v>BC14</v>
      </c>
      <c r="B22" s="303" t="s">
        <v>13</v>
      </c>
      <c r="C22" s="304"/>
      <c r="D22" s="5" t="s">
        <v>14</v>
      </c>
      <c r="E22" s="309">
        <v>0</v>
      </c>
      <c r="F22" s="308">
        <v>0</v>
      </c>
      <c r="G22" s="308">
        <v>0</v>
      </c>
      <c r="H22" s="308">
        <v>0</v>
      </c>
      <c r="I22" s="308">
        <v>0</v>
      </c>
      <c r="J22" s="136"/>
      <c r="K22" s="145" t="s">
        <v>15</v>
      </c>
      <c r="L22" s="262">
        <f>ROUND(($C$24/9)*SUM(E22:E24),0)</f>
        <v>0</v>
      </c>
      <c r="M22" s="262">
        <f>ROUND((($C$24/9)*1.03)*SUM(F22:F24),0)</f>
        <v>0</v>
      </c>
      <c r="N22" s="262">
        <f>ROUND((($C$24/9)*1.06)*SUM(G22:G24),0)</f>
        <v>0</v>
      </c>
      <c r="O22" s="262">
        <f>ROUND((($C$24/9)*1.09)*SUM(H22:H24),0)</f>
        <v>0</v>
      </c>
      <c r="P22" s="262">
        <f>ROUND((($C$24/9)*1.12)*SUM(I22:I24),0)</f>
        <v>0</v>
      </c>
      <c r="Q22" s="36">
        <f>SUM(L22:P22)</f>
        <v>0</v>
      </c>
    </row>
    <row r="23" spans="1:21" ht="17.25" customHeight="1">
      <c r="A23" s="203" t="str">
        <f>VLOOKUP(B23,TABLES!$A$102:$I$112,9,FALSE)</f>
        <v>BC20</v>
      </c>
      <c r="B23" s="13" t="str">
        <f>VLOOKUP(B22,TABLES!$A$12:$B$99,2,FALSE)</f>
        <v>Faculty Summer</v>
      </c>
      <c r="D23" s="6" t="s">
        <v>16</v>
      </c>
      <c r="E23" s="308">
        <v>0</v>
      </c>
      <c r="F23" s="308">
        <v>0</v>
      </c>
      <c r="G23" s="308">
        <v>0</v>
      </c>
      <c r="H23" s="308">
        <v>0</v>
      </c>
      <c r="I23" s="308">
        <v>0</v>
      </c>
      <c r="J23" s="23"/>
      <c r="K23" s="6" t="s">
        <v>17</v>
      </c>
      <c r="L23" s="11">
        <f>ROUND(L22*INDEX(TABLES!$C$103:$H$112,MATCH($B$23,TABLES!$A$103:$A$112,0),MATCH(L$5,TABLES!$C$102:$H$102,0))+L22*VLOOKUP($B$23,TABLES!$A$103:$B$112,2,FALSE),0)+IF($C$4="Yes",0,(L22*TABLES!B138))</f>
        <v>0</v>
      </c>
      <c r="M23" s="11">
        <f>ROUND(M22*INDEX(TABLES!$C$103:$H$112,MATCH($B$23,TABLES!$A$103:$A$112,0),MATCH(M$5,TABLES!$C$102:$H$102,0))+M22*VLOOKUP($B$23,TABLES!$A$103:$B$112,2,FALSE),0)+IF($C$4="Yes",0,(M22*TABLES!B138))</f>
        <v>0</v>
      </c>
      <c r="N23" s="11">
        <f>ROUND(N22*INDEX(TABLES!$C$103:$H$112,MATCH($B$23,TABLES!$A$103:$A$112,0),MATCH(N$5,TABLES!$C$102:$H$102,0))+N22*VLOOKUP($B$23,TABLES!$A$103:$B$112,2,FALSE),0)+IF($C$4="Yes",0,(N22*TABLES!B138))</f>
        <v>0</v>
      </c>
      <c r="O23" s="11">
        <f>ROUND(O22*INDEX(TABLES!$C$103:$H$112,MATCH($B$23,TABLES!$A$103:$A$112,0),MATCH(O$5,TABLES!$C$102:$H$102,0))+O22*VLOOKUP($B$23,TABLES!$A$103:$B$112,2,FALSE),0)+IF($C$4="Yes",0,(O22*TABLES!B138))</f>
        <v>0</v>
      </c>
      <c r="P23" s="11">
        <f>ROUND(P22*INDEX(TABLES!$C$103:$H$112,MATCH($B$23,TABLES!$A$103:$A$112,0),MATCH(P$5,TABLES!$C$102:$H$102,0))+P22*VLOOKUP($B$23,TABLES!$A$103:$B$112,2,FALSE),0)+IF($C$4="Yes",0,(P22*TABLES!B138))</f>
        <v>0</v>
      </c>
      <c r="Q23" s="15">
        <f>SUM(L23:P23)</f>
        <v>0</v>
      </c>
    </row>
    <row r="24" spans="1:21" ht="17.25" customHeight="1">
      <c r="A24" s="202"/>
      <c r="B24" s="154" t="s">
        <v>18</v>
      </c>
      <c r="C24" s="305"/>
      <c r="D24" s="6" t="s">
        <v>19</v>
      </c>
      <c r="E24" s="308">
        <v>0</v>
      </c>
      <c r="F24" s="308">
        <v>0</v>
      </c>
      <c r="G24" s="308">
        <v>0</v>
      </c>
      <c r="H24" s="308">
        <v>0</v>
      </c>
      <c r="I24" s="308">
        <v>0</v>
      </c>
      <c r="J24" s="23"/>
      <c r="K24" s="286" t="s">
        <v>20</v>
      </c>
      <c r="L24" s="287">
        <f>SUM(L22:L23)</f>
        <v>0</v>
      </c>
      <c r="M24" s="287">
        <f t="shared" ref="M24" si="11">SUM(M22:M23)</f>
        <v>0</v>
      </c>
      <c r="N24" s="287">
        <f t="shared" ref="N24" si="12">SUM(N22:N23)</f>
        <v>0</v>
      </c>
      <c r="O24" s="287">
        <f t="shared" ref="O24" si="13">SUM(O22:O23)</f>
        <v>0</v>
      </c>
      <c r="P24" s="287">
        <f t="shared" ref="P24" si="14">SUM(P22:P23)</f>
        <v>0</v>
      </c>
      <c r="Q24" s="288">
        <f t="shared" ref="Q24" si="15">SUM(Q22:Q23)</f>
        <v>0</v>
      </c>
    </row>
    <row r="25" spans="1:21" ht="17.25" customHeight="1">
      <c r="A25" s="202"/>
      <c r="B25" s="8"/>
      <c r="F25" s="23"/>
      <c r="G25" s="23"/>
      <c r="H25" s="23"/>
      <c r="I25" s="23"/>
      <c r="J25" s="23"/>
      <c r="K25" s="16"/>
      <c r="L25" s="310"/>
      <c r="M25" s="310"/>
      <c r="N25" s="310"/>
      <c r="O25" s="310"/>
      <c r="P25" s="310"/>
      <c r="Q25" s="311"/>
    </row>
    <row r="26" spans="1:21" ht="17.25" customHeight="1">
      <c r="A26" s="202"/>
      <c r="B26" s="28" t="s">
        <v>25</v>
      </c>
      <c r="C26" s="134"/>
      <c r="D26" s="142"/>
      <c r="E26" s="143" t="s">
        <v>7</v>
      </c>
      <c r="F26" s="143" t="s">
        <v>8</v>
      </c>
      <c r="G26" s="143" t="s">
        <v>9</v>
      </c>
      <c r="H26" s="144" t="s">
        <v>10</v>
      </c>
      <c r="I26" s="144" t="s">
        <v>11</v>
      </c>
      <c r="J26" s="27"/>
      <c r="K26" s="27"/>
      <c r="L26" s="135" t="s">
        <v>7</v>
      </c>
      <c r="M26" s="135" t="s">
        <v>8</v>
      </c>
      <c r="N26" s="135" t="s">
        <v>9</v>
      </c>
      <c r="O26" s="135" t="s">
        <v>10</v>
      </c>
      <c r="P26" s="135" t="s">
        <v>11</v>
      </c>
      <c r="Q26" s="130" t="s">
        <v>12</v>
      </c>
    </row>
    <row r="27" spans="1:21" ht="17.25" customHeight="1">
      <c r="A27" s="203" t="str">
        <f>VLOOKUP(B27,TABLES!$A$12:$I$99,9,FALSE)</f>
        <v>BC14</v>
      </c>
      <c r="B27" s="303" t="s">
        <v>13</v>
      </c>
      <c r="C27" s="304"/>
      <c r="D27" s="5" t="s">
        <v>14</v>
      </c>
      <c r="E27" s="309">
        <v>0</v>
      </c>
      <c r="F27" s="308">
        <v>0</v>
      </c>
      <c r="G27" s="308">
        <v>0</v>
      </c>
      <c r="H27" s="308">
        <v>0</v>
      </c>
      <c r="I27" s="308">
        <v>0</v>
      </c>
      <c r="J27" s="136"/>
      <c r="K27" s="145" t="s">
        <v>15</v>
      </c>
      <c r="L27" s="262">
        <f>ROUND(($C$29/9)*SUM(E27:E29),0)</f>
        <v>0</v>
      </c>
      <c r="M27" s="262">
        <f>ROUND((($C$29/9)*1.03)*SUM(F27:F29),0)</f>
        <v>0</v>
      </c>
      <c r="N27" s="262">
        <f>ROUND((($C$29/9)*1.06)*SUM(G27:G29),0)</f>
        <v>0</v>
      </c>
      <c r="O27" s="262">
        <f>ROUND((($C$29/9)*1.09)*SUM(H27:H29),0)</f>
        <v>0</v>
      </c>
      <c r="P27" s="262">
        <f>ROUND((($C$29/9)*1.12)*SUM(I27:I29),0)</f>
        <v>0</v>
      </c>
      <c r="Q27" s="36">
        <f>SUM(L27:P27)</f>
        <v>0</v>
      </c>
    </row>
    <row r="28" spans="1:21" ht="17.25" customHeight="1">
      <c r="A28" s="203" t="str">
        <f>VLOOKUP(B28,TABLES!$A$102:$I$112,9,FALSE)</f>
        <v>BC20</v>
      </c>
      <c r="B28" s="13" t="str">
        <f>VLOOKUP(B27,TABLES!$A$12:$B$99,2,FALSE)</f>
        <v>Faculty Summer</v>
      </c>
      <c r="D28" s="6" t="s">
        <v>16</v>
      </c>
      <c r="E28" s="308">
        <v>0</v>
      </c>
      <c r="F28" s="308">
        <v>0</v>
      </c>
      <c r="G28" s="308">
        <v>0</v>
      </c>
      <c r="H28" s="308">
        <v>0</v>
      </c>
      <c r="I28" s="308">
        <v>0</v>
      </c>
      <c r="J28" s="23"/>
      <c r="K28" s="6" t="s">
        <v>17</v>
      </c>
      <c r="L28" s="11">
        <f>ROUND(L27*INDEX(TABLES!$C$103:$H$112,MATCH($B$28,TABLES!$A$103:$A$112,0),MATCH(L$5,TABLES!$C$102:$H$102,0))+L27*VLOOKUP($B$28,TABLES!$A$103:$B$112,2,FALSE),0)+IF($C$4="Yes",0,(L27*TABLES!B138))</f>
        <v>0</v>
      </c>
      <c r="M28" s="11">
        <f>ROUND(M27*INDEX(TABLES!$C$103:$H$112,MATCH($B$28,TABLES!$A$103:$A$112,0),MATCH(M$5,TABLES!$C$102:$H$102,0))+M27*VLOOKUP($B$28,TABLES!$A$103:$B$112,2,FALSE),0)+IF($C$4="Yes",0,(M27*TABLES!B138))</f>
        <v>0</v>
      </c>
      <c r="N28" s="11">
        <f>ROUND(N27*INDEX(TABLES!$C$103:$H$112,MATCH($B$28,TABLES!$A$103:$A$112,0),MATCH(N$5,TABLES!$C$102:$H$102,0))+N27*VLOOKUP($B$28,TABLES!$A$103:$B$112,2,FALSE),0)+IF($C$4="Yes",0,(N27*TABLES!B138))</f>
        <v>0</v>
      </c>
      <c r="O28" s="11">
        <f>ROUND(O27*INDEX(TABLES!$C$103:$H$112,MATCH($B$28,TABLES!$A$103:$A$112,0),MATCH(O$5,TABLES!$C$102:$H$102,0))+O27*VLOOKUP($B$28,TABLES!$A$103:$B$112,2,FALSE),0)+IF($C$4="Yes",0,(O27*TABLES!B138))</f>
        <v>0</v>
      </c>
      <c r="P28" s="11">
        <f>ROUND(P27*INDEX(TABLES!$C$103:$H$112,MATCH($B$28,TABLES!$A$103:$A$112,0),MATCH(P$5,TABLES!$C$102:$H$102,0))+P27*VLOOKUP($B$28,TABLES!$A$103:$B$112,2,FALSE),0)+IF($C$4="Yes",0,(P27*TABLES!B138))</f>
        <v>0</v>
      </c>
      <c r="Q28" s="15">
        <f>SUM(L28:P28)</f>
        <v>0</v>
      </c>
    </row>
    <row r="29" spans="1:21" ht="17.25" customHeight="1">
      <c r="A29" s="202"/>
      <c r="B29" s="154" t="s">
        <v>18</v>
      </c>
      <c r="C29" s="305"/>
      <c r="D29" s="6" t="s">
        <v>19</v>
      </c>
      <c r="E29" s="308">
        <v>0</v>
      </c>
      <c r="F29" s="308">
        <v>0</v>
      </c>
      <c r="G29" s="308">
        <v>0</v>
      </c>
      <c r="H29" s="308">
        <v>0</v>
      </c>
      <c r="I29" s="308">
        <v>0</v>
      </c>
      <c r="J29" s="23"/>
      <c r="K29" s="286" t="s">
        <v>20</v>
      </c>
      <c r="L29" s="287">
        <f>SUM(L27:L28)</f>
        <v>0</v>
      </c>
      <c r="M29" s="287">
        <f t="shared" ref="M29" si="16">SUM(M27:M28)</f>
        <v>0</v>
      </c>
      <c r="N29" s="287">
        <f t="shared" ref="N29" si="17">SUM(N27:N28)</f>
        <v>0</v>
      </c>
      <c r="O29" s="287">
        <f t="shared" ref="O29" si="18">SUM(O27:O28)</f>
        <v>0</v>
      </c>
      <c r="P29" s="287">
        <f t="shared" ref="P29" si="19">SUM(P27:P28)</f>
        <v>0</v>
      </c>
      <c r="Q29" s="288">
        <f t="shared" ref="Q29" si="20">SUM(Q27:Q28)</f>
        <v>0</v>
      </c>
    </row>
    <row r="30" spans="1:21" ht="17.25" customHeight="1">
      <c r="A30" s="202"/>
      <c r="B30" s="8"/>
      <c r="F30" s="23"/>
      <c r="G30" s="23"/>
      <c r="H30" s="23"/>
      <c r="I30" s="23"/>
      <c r="J30" s="23"/>
      <c r="K30" s="16"/>
      <c r="L30" s="310"/>
      <c r="M30" s="310"/>
      <c r="N30" s="310"/>
      <c r="O30" s="310"/>
      <c r="P30" s="310"/>
      <c r="Q30" s="311"/>
    </row>
    <row r="31" spans="1:21" ht="17.25" customHeight="1">
      <c r="A31" s="202"/>
      <c r="B31" s="273" t="s">
        <v>26</v>
      </c>
      <c r="C31" s="274"/>
      <c r="D31" s="274"/>
      <c r="E31" s="274"/>
      <c r="F31" s="275"/>
      <c r="G31" s="275"/>
      <c r="H31" s="275"/>
      <c r="I31" s="275"/>
      <c r="J31" s="275"/>
      <c r="K31" s="274"/>
      <c r="L31" s="276"/>
      <c r="M31" s="276"/>
      <c r="N31" s="276"/>
      <c r="O31" s="276"/>
      <c r="P31" s="276"/>
      <c r="Q31" s="277"/>
    </row>
    <row r="32" spans="1:21" s="27" customFormat="1">
      <c r="A32" s="204"/>
      <c r="B32" s="28" t="s">
        <v>27</v>
      </c>
      <c r="C32" s="134" t="s">
        <v>28</v>
      </c>
      <c r="D32" s="142"/>
      <c r="E32" s="143" t="s">
        <v>7</v>
      </c>
      <c r="F32" s="143" t="s">
        <v>8</v>
      </c>
      <c r="G32" s="143" t="s">
        <v>9</v>
      </c>
      <c r="H32" s="144" t="s">
        <v>10</v>
      </c>
      <c r="I32" s="144" t="s">
        <v>11</v>
      </c>
      <c r="L32" s="135" t="s">
        <v>7</v>
      </c>
      <c r="M32" s="135" t="s">
        <v>8</v>
      </c>
      <c r="N32" s="135" t="s">
        <v>9</v>
      </c>
      <c r="O32" s="135" t="s">
        <v>10</v>
      </c>
      <c r="P32" s="135" t="s">
        <v>11</v>
      </c>
      <c r="Q32" s="130" t="s">
        <v>12</v>
      </c>
      <c r="R32" s="320"/>
      <c r="S32" s="321"/>
      <c r="T32" s="321"/>
      <c r="U32" s="320"/>
    </row>
    <row r="33" spans="1:18" ht="15.6">
      <c r="A33" s="203" t="str">
        <f>VLOOKUP(B33,TABLES!$A$12:$I$99,9,FALSE)</f>
        <v>BC11</v>
      </c>
      <c r="B33" s="303" t="s">
        <v>29</v>
      </c>
      <c r="C33" s="306">
        <v>0</v>
      </c>
      <c r="D33" s="5" t="s">
        <v>14</v>
      </c>
      <c r="E33" s="308">
        <v>0</v>
      </c>
      <c r="F33" s="308">
        <v>0</v>
      </c>
      <c r="G33" s="308">
        <v>0</v>
      </c>
      <c r="H33" s="308">
        <v>0</v>
      </c>
      <c r="I33" s="308">
        <v>0</v>
      </c>
      <c r="J33" s="136"/>
      <c r="K33" s="145" t="s">
        <v>15</v>
      </c>
      <c r="L33" s="262">
        <f>ROUND(IFERROR((IF(SUM(E33:E35)&gt;0,INDEX(TABLES!$C$12:$H$99,MATCH($B$33,TABLES!$A$12:$A$99,0),MATCH(L$5,TABLES!$C$11:$H$11,0)),"0")*$C$33),0)/12*SUM(E33:E35),0)</f>
        <v>0</v>
      </c>
      <c r="M33" s="262">
        <f>ROUND(IFERROR((IF(SUM(F33:F35)&gt;0,INDEX(TABLES!$C$12:$H$99,MATCH($B$33,TABLES!$A$12:$A$99,0),MATCH(M$5,TABLES!$C$11:$H$11,0)),"0")*$C$33),0)/12*SUM(F33:F35),0)</f>
        <v>0</v>
      </c>
      <c r="N33" s="262">
        <f>ROUND(IFERROR((IF(SUM(G33:G35)&gt;0,INDEX(TABLES!$C$12:$H$99,MATCH($B$33,TABLES!$A$12:$A$99,0),MATCH(N$5,TABLES!$C$11:$H$11,0)),"0")*$C$33),0)/12*SUM(G33:G35),0)</f>
        <v>0</v>
      </c>
      <c r="O33" s="262">
        <f>ROUND(IFERROR((IF(SUM(H33:H35)&gt;0,INDEX(TABLES!$C$12:$H$99,MATCH($B$33,TABLES!$A$12:$A$99,0),MATCH(O$5,TABLES!$C$11:$H$11,0)),"0")*$C$33),0)/12*SUM(H33:H35),0)</f>
        <v>0</v>
      </c>
      <c r="P33" s="262">
        <f>ROUND(IFERROR((IF(SUM(I33:I35)&gt;0,INDEX(TABLES!$C$12:$H$99,MATCH($B$33,TABLES!$A$12:$A$99,0),MATCH(P$5,TABLES!$C$11:$H$11,0)),"0")*$C$33),0)/12*SUM(I33:I35),0)</f>
        <v>0</v>
      </c>
      <c r="Q33" s="36">
        <f>SUM(L33:P33)</f>
        <v>0</v>
      </c>
    </row>
    <row r="34" spans="1:18" ht="15.6">
      <c r="A34" s="203" t="str">
        <f>VLOOKUP(B34,TABLES!$A$102:$I$112,9,FALSE)</f>
        <v>BC20</v>
      </c>
      <c r="B34" s="13" t="str">
        <f>VLOOKUP(B33,TABLES!$A$12:$B$99,2,FALSE)</f>
        <v>Student</v>
      </c>
      <c r="D34" s="6" t="s">
        <v>16</v>
      </c>
      <c r="E34" s="308">
        <v>0</v>
      </c>
      <c r="F34" s="308">
        <v>0</v>
      </c>
      <c r="G34" s="308">
        <v>0</v>
      </c>
      <c r="H34" s="308">
        <v>0</v>
      </c>
      <c r="I34" s="308">
        <v>0</v>
      </c>
      <c r="J34" s="23"/>
      <c r="K34" s="6" t="s">
        <v>17</v>
      </c>
      <c r="L34" s="11">
        <f>ROUND(L33*INDEX(TABLES!$C$103:$H$112,MATCH($B$34,TABLES!$A$103:$A$112,0),MATCH(L$5,TABLES!$C$102:$H$102,0))+L33*VLOOKUP($B$34,TABLES!$A$103:$B$112,2,FALSE),0)+IF($C$4="Yes",0,(L33*TABLES!B131))</f>
        <v>0</v>
      </c>
      <c r="M34" s="11">
        <f>ROUND(M33*INDEX(TABLES!$C$103:$H$112,MATCH($B$34,TABLES!$A$103:$A$112,0),MATCH(M$5,TABLES!$C$102:$H$102,0))+M33*VLOOKUP($B$34,TABLES!$A$103:$B$112,2,FALSE),0)+IF($C$4="Yes",0,(M33*TABLES!B131))</f>
        <v>0</v>
      </c>
      <c r="N34" s="11">
        <f>ROUND(N33*INDEX(TABLES!$C$103:$H$112,MATCH($B$34,TABLES!$A$103:$A$112,0),MATCH(N$5,TABLES!$C$102:$H$102,0))+N33*VLOOKUP($B$34,TABLES!$A$103:$B$112,2,FALSE),0)+IF($C$4="Yes",0,(N33*TABLES!B131))</f>
        <v>0</v>
      </c>
      <c r="O34" s="11">
        <f>ROUND(O33*INDEX(TABLES!$C$103:$H$112,MATCH($B$34,TABLES!$A$103:$A$112,0),MATCH(O$5,TABLES!$C$102:$H$102,0))+O33*VLOOKUP($B$34,TABLES!$A$103:$B$112,2,FALSE),0)+IF($C$4="Yes",0,(O33*TABLES!B138))</f>
        <v>0</v>
      </c>
      <c r="P34" s="11">
        <f>ROUND(P33*INDEX(TABLES!$C$103:$H$112,MATCH($B$34,TABLES!$A$103:$A$112,0),MATCH(P$5,TABLES!$C$102:$H$102,0))+P33*VLOOKUP($B$34,TABLES!$A$103:$B$112,2,FALSE),0)+IF($C$4="Yes",0,(P33*TABLES!B138))</f>
        <v>0</v>
      </c>
      <c r="Q34" s="15">
        <f>SUM(L34:P34)</f>
        <v>0</v>
      </c>
    </row>
    <row r="35" spans="1:18" ht="15.6">
      <c r="A35" s="202"/>
      <c r="B35" s="13"/>
      <c r="D35" s="6" t="s">
        <v>19</v>
      </c>
      <c r="E35" s="308">
        <v>0</v>
      </c>
      <c r="F35" s="308">
        <v>0</v>
      </c>
      <c r="G35" s="308">
        <v>0</v>
      </c>
      <c r="H35" s="308">
        <v>0</v>
      </c>
      <c r="I35" s="308">
        <v>0</v>
      </c>
      <c r="J35" s="23"/>
      <c r="K35" s="6" t="s">
        <v>30</v>
      </c>
      <c r="L35" s="11">
        <f>IF($C$33&gt;0.24,ROUND(SUMIFS(TABLES!B$120,$B$33,"*(NRT)*",E34,"&gt;0")/9*E34,0),0)</f>
        <v>0</v>
      </c>
      <c r="M35" s="11">
        <f>IF($C$33&gt;0.24,ROUND(SUMIFS(TABLES!C$120,$B$33,"*(NRT)*",F34,"&gt;0")/9*F34,0),0)</f>
        <v>0</v>
      </c>
      <c r="N35" s="11">
        <f>IF($C$33&gt;0.24,ROUND(SUMIFS(TABLES!D$120,$B$33,"*(NRT)*",G34,"&gt;0")/9*G34,0),0)</f>
        <v>0</v>
      </c>
      <c r="O35" s="11">
        <f>IF($C$33&gt;0.24,ROUND(SUMIFS(TABLES!E$120,$B$33,"*(NRT)*",H34,"&gt;0")/9*H34,0),0)</f>
        <v>0</v>
      </c>
      <c r="P35" s="11">
        <f>IF($C$33&gt;0.24,ROUND(SUMIFS(TABLES!F$120,$B$33,"*(NRT)*",I34,"&gt;0")/9*I34,0),0)</f>
        <v>0</v>
      </c>
      <c r="Q35" s="15">
        <f>SUM(L35:P35)</f>
        <v>0</v>
      </c>
      <c r="R35" s="322"/>
    </row>
    <row r="36" spans="1:18" ht="12.75" customHeight="1">
      <c r="A36" s="202"/>
      <c r="B36" s="146"/>
      <c r="C36" s="20"/>
      <c r="D36" s="20"/>
      <c r="E36" s="20"/>
      <c r="F36" s="21"/>
      <c r="G36" s="21"/>
      <c r="H36" s="21"/>
      <c r="I36" s="21"/>
      <c r="J36" s="21"/>
      <c r="K36" s="35" t="s">
        <v>31</v>
      </c>
      <c r="L36" s="141">
        <f>IF($C$33&gt;0.24,ROUND(SUMIFS(TABLES!B$118,$B$33,"*(NO NRT)*",E34,"&gt;0")/9*E34,0),0)</f>
        <v>0</v>
      </c>
      <c r="M36" s="141">
        <f>IF($C$33&gt;0.24,ROUND(SUMIFS(TABLES!C$118,$B$33,"*(NO NRT)*",F34,"&gt;0")/9*F34,0),0)</f>
        <v>0</v>
      </c>
      <c r="N36" s="141">
        <f>IF($C$33&gt;0.24,ROUND(SUMIFS(TABLES!D$118,$B$33,"*(NO NRT)*",G34,"&gt;0")/9*G34,0),0)</f>
        <v>0</v>
      </c>
      <c r="O36" s="141">
        <f>IF($C$33&gt;0.24,ROUND(SUMIFS(TABLES!E$118,$B$33,"*(NO NRT)*",H34,"&gt;0")/9*H34,0),0)</f>
        <v>0</v>
      </c>
      <c r="P36" s="141">
        <f>IF($C$33&gt;0.24,ROUND(SUMIFS(TABLES!F$118,$B$33,"*(NO NRT)*",I34,"&gt;0")/9*I34,0),0)</f>
        <v>0</v>
      </c>
      <c r="Q36" s="22">
        <f>SUM(L36:P36)</f>
        <v>0</v>
      </c>
    </row>
    <row r="37" spans="1:18" ht="16.5" customHeight="1">
      <c r="A37" s="202"/>
      <c r="B37" s="8"/>
      <c r="C37" s="134"/>
      <c r="D37" s="134"/>
      <c r="E37" s="137"/>
      <c r="F37" s="137"/>
      <c r="G37" s="137"/>
      <c r="H37" s="138"/>
      <c r="I37" s="138"/>
      <c r="J37" s="27"/>
      <c r="K37" s="286" t="s">
        <v>20</v>
      </c>
      <c r="L37" s="287">
        <f>SUM(L33:L36)</f>
        <v>0</v>
      </c>
      <c r="M37" s="287">
        <f t="shared" ref="M37:Q37" si="21">SUM(M33:M36)</f>
        <v>0</v>
      </c>
      <c r="N37" s="287">
        <f t="shared" si="21"/>
        <v>0</v>
      </c>
      <c r="O37" s="287">
        <f t="shared" si="21"/>
        <v>0</v>
      </c>
      <c r="P37" s="287">
        <f t="shared" si="21"/>
        <v>0</v>
      </c>
      <c r="Q37" s="313">
        <f t="shared" si="21"/>
        <v>0</v>
      </c>
    </row>
    <row r="38" spans="1:18" ht="15.6">
      <c r="A38" s="202"/>
      <c r="B38" s="8"/>
      <c r="C38" s="134"/>
      <c r="D38" s="134"/>
      <c r="E38" s="137"/>
      <c r="F38" s="137"/>
      <c r="G38" s="137"/>
      <c r="H38" s="138"/>
      <c r="I38" s="138"/>
      <c r="J38" s="27"/>
      <c r="K38" s="291" t="s">
        <v>32</v>
      </c>
      <c r="L38" s="292">
        <f>IF($C$33&gt;0.24,ROUND(SUMIFS(TABLES!B$116,$B$33,"*(NO NRT)*",E34,"&gt;0")/9*E34,0),0)</f>
        <v>0</v>
      </c>
      <c r="M38" s="292">
        <f>IF($C$33&gt;0.24,ROUND(SUMIFS(TABLES!C$116,$B$33,"*(NO NRT)*",F34,"&gt;0")/9*F34,0),0)</f>
        <v>0</v>
      </c>
      <c r="N38" s="292">
        <f>IF($C$33&gt;0.24,ROUND(SUMIFS(TABLES!D$116,$B$33,"*(NO NRT)*",G34,"&gt;0")/9*G34,0),0)</f>
        <v>0</v>
      </c>
      <c r="O38" s="292">
        <f>IF($C$33&gt;0.24,ROUND(SUMIFS(TABLES!E$116,$B$33,"*(NO NRT)*",H34,"&gt;0")/9*H34,0),0)</f>
        <v>0</v>
      </c>
      <c r="P38" s="292">
        <f>IF($C$33&gt;0.24,ROUND(SUMIFS(TABLES!F$116,$B$33,"*(NO NRT)*",I34,"&gt;0")/9*I34,0),0)</f>
        <v>0</v>
      </c>
      <c r="Q38" s="314">
        <f>SUM(L38:P38)</f>
        <v>0</v>
      </c>
    </row>
    <row r="39" spans="1:18" ht="15.6">
      <c r="A39" s="202"/>
      <c r="B39" s="13"/>
      <c r="C39" s="140"/>
      <c r="D39" s="140"/>
      <c r="J39" s="23"/>
      <c r="K39" s="293" t="s">
        <v>33</v>
      </c>
      <c r="L39" s="294">
        <f>IF($C$33&gt;0.24,ROUND(SUMIFS(TABLES!B$117,$B$33,"*(NO NRT)*",E34,"&gt;0")/9*E34,0),0)</f>
        <v>0</v>
      </c>
      <c r="M39" s="294">
        <f>IF($C$33&gt;0.24,ROUND(SUMIFS(TABLES!C$117,$B$33,"*(NO NRT)*",F34,"&gt;0")/9*F34,0),0)</f>
        <v>0</v>
      </c>
      <c r="N39" s="294">
        <f>IF($C$33&gt;0.24,ROUND(SUMIFS(TABLES!D$117,$B$33,"*(NO NRT)*",G34,"&gt;0")/9*G34,0),0)</f>
        <v>0</v>
      </c>
      <c r="O39" s="294">
        <f>IF($C$33&gt;0.24,ROUND(SUMIFS(TABLES!E$117,$B$33,"*(NO NRT)*",H34,"&gt;0")/9*H34,0),0)</f>
        <v>0</v>
      </c>
      <c r="P39" s="294">
        <f>IF($C$33&gt;0.24,ROUND(SUMIFS(TABLES!F$117,$B$33,"*(NO NRT)*",I34,"&gt;0")/9*I34,0),0)</f>
        <v>0</v>
      </c>
      <c r="Q39" s="315">
        <f>SUM(L39:P39)</f>
        <v>0</v>
      </c>
    </row>
    <row r="40" spans="1:18" ht="15.6">
      <c r="A40" s="202"/>
      <c r="B40" s="13"/>
      <c r="C40" s="140"/>
      <c r="D40" s="140"/>
      <c r="J40" s="23"/>
      <c r="K40" s="312"/>
      <c r="L40" s="11"/>
      <c r="M40" s="11"/>
      <c r="N40" s="11"/>
      <c r="O40" s="11"/>
      <c r="P40" s="11"/>
      <c r="Q40" s="12"/>
    </row>
    <row r="41" spans="1:18" ht="16.5" customHeight="1">
      <c r="A41" s="202"/>
      <c r="B41" s="28" t="s">
        <v>34</v>
      </c>
      <c r="C41" s="134" t="s">
        <v>28</v>
      </c>
      <c r="D41" s="142"/>
      <c r="E41" s="143" t="s">
        <v>7</v>
      </c>
      <c r="F41" s="143" t="s">
        <v>8</v>
      </c>
      <c r="G41" s="143" t="s">
        <v>9</v>
      </c>
      <c r="H41" s="144" t="s">
        <v>10</v>
      </c>
      <c r="I41" s="144" t="s">
        <v>11</v>
      </c>
      <c r="J41" s="27"/>
      <c r="K41" s="27"/>
      <c r="L41" s="135" t="s">
        <v>7</v>
      </c>
      <c r="M41" s="135" t="s">
        <v>8</v>
      </c>
      <c r="N41" s="135" t="s">
        <v>9</v>
      </c>
      <c r="O41" s="135" t="s">
        <v>10</v>
      </c>
      <c r="P41" s="135" t="s">
        <v>11</v>
      </c>
      <c r="Q41" s="130" t="s">
        <v>12</v>
      </c>
    </row>
    <row r="42" spans="1:18" ht="12.75" customHeight="1">
      <c r="A42" s="203" t="str">
        <f>VLOOKUP(B42,TABLES!$A$12:$I$99,9,FALSE)</f>
        <v>BC11</v>
      </c>
      <c r="B42" s="303" t="s">
        <v>29</v>
      </c>
      <c r="C42" s="306">
        <v>0</v>
      </c>
      <c r="D42" s="5" t="s">
        <v>14</v>
      </c>
      <c r="E42" s="308">
        <v>0</v>
      </c>
      <c r="F42" s="308">
        <v>0</v>
      </c>
      <c r="G42" s="308">
        <v>0</v>
      </c>
      <c r="H42" s="308">
        <v>0</v>
      </c>
      <c r="I42" s="308">
        <v>0</v>
      </c>
      <c r="J42" s="136"/>
      <c r="K42" s="145" t="s">
        <v>15</v>
      </c>
      <c r="L42" s="262">
        <f>ROUND(IFERROR((IF(SUM(E42:E44)&gt;0,INDEX(TABLES!$C$12:$H$99,MATCH($B$42,TABLES!$A$12:$A$99,0),MATCH(L$5,TABLES!$C$11:$H$11,0)),"0")*$C$42),0)/12*SUM(E42:E44),0)</f>
        <v>0</v>
      </c>
      <c r="M42" s="262">
        <f>ROUND(IFERROR((IF(SUM(F42:F44)&gt;0,INDEX(TABLES!$C$12:$H$99,MATCH($B$42,TABLES!$A$12:$A$99,0),MATCH(M$5,TABLES!$C$11:$H$11,0)),"0")*$C$42),0)/12*SUM(F42:F44),0)</f>
        <v>0</v>
      </c>
      <c r="N42" s="262">
        <f>ROUND(IFERROR((IF(SUM(G42:G44)&gt;0,INDEX(TABLES!$C$12:$H$99,MATCH($B$42,TABLES!$A$12:$A$99,0),MATCH(N$5,TABLES!$C$11:$H$11,0)),"0")*$C$42),0)/12*SUM(G42:G44),0)</f>
        <v>0</v>
      </c>
      <c r="O42" s="262">
        <f>ROUND(IFERROR((IF(SUM(H42:H44)&gt;0,INDEX(TABLES!$C$12:$H$99,MATCH($B$42,TABLES!$A$12:$A$99,0),MATCH(O$5,TABLES!$C$11:$H$11,0)),"0")*$C$42),0)/12*SUM(H42:H44),0)</f>
        <v>0</v>
      </c>
      <c r="P42" s="262">
        <f>ROUND(IFERROR((IF(SUM(I42:I44)&gt;0,INDEX(TABLES!$C$12:$H$99,MATCH($B$42,TABLES!$A$12:$A$99,0),MATCH(P$5,TABLES!$C$11:$H$11,0)),"0")*$C$42),0)/12*SUM(I42:I44),0)</f>
        <v>0</v>
      </c>
      <c r="Q42" s="36">
        <f>SUM(L42:P42)</f>
        <v>0</v>
      </c>
    </row>
    <row r="43" spans="1:18" ht="12.75" customHeight="1">
      <c r="A43" s="203" t="str">
        <f>VLOOKUP(B43,TABLES!$A$102:$I$112,9,FALSE)</f>
        <v>BC20</v>
      </c>
      <c r="B43" s="13" t="str">
        <f>VLOOKUP(B42,TABLES!$A$12:$B$99,2,FALSE)</f>
        <v>Student</v>
      </c>
      <c r="D43" s="6" t="s">
        <v>16</v>
      </c>
      <c r="E43" s="308">
        <v>0</v>
      </c>
      <c r="F43" s="308">
        <v>0</v>
      </c>
      <c r="G43" s="308">
        <v>0</v>
      </c>
      <c r="H43" s="308">
        <v>0</v>
      </c>
      <c r="I43" s="308">
        <v>0</v>
      </c>
      <c r="J43" s="23"/>
      <c r="K43" s="6" t="s">
        <v>17</v>
      </c>
      <c r="L43" s="11">
        <f>ROUND(L42*INDEX(TABLES!$C$103:$H$112,MATCH($B$43,TABLES!$A$103:$A$112,0),MATCH(L$5,TABLES!$C$102:$H$102,0))+L42*VLOOKUP($B$43,TABLES!$A$103:$B$112,2,FALSE),0)+IF($C$4="Yes",0,(L42*TABLES!B138))</f>
        <v>0</v>
      </c>
      <c r="M43" s="11">
        <f>ROUND(M42*INDEX(TABLES!$C$103:$H$112,MATCH($B$43,TABLES!$A$103:$A$112,0),MATCH(M$5,TABLES!$C$102:$H$102,0))+M42*VLOOKUP($B$43,TABLES!$A$103:$B$112,2,FALSE),0)+IF($C$4="Yes",0,(M42*TABLES!B138))</f>
        <v>0</v>
      </c>
      <c r="N43" s="11">
        <f>ROUND(N42*INDEX(TABLES!$C$103:$H$112,MATCH($B$43,TABLES!$A$103:$A$112,0),MATCH(N$5,TABLES!$C$102:$H$102,0))+N42*VLOOKUP($B$43,TABLES!$A$103:$B$112,2,FALSE),0)+IF($C$4="Yes",0,(N42*TABLES!B138))</f>
        <v>0</v>
      </c>
      <c r="O43" s="11">
        <f>ROUND(O42*INDEX(TABLES!$C$103:$H$112,MATCH($B$43,TABLES!$A$103:$A$112,0),MATCH(O$5,TABLES!$C$102:$H$102,0))+O42*VLOOKUP($B$43,TABLES!$A$103:$B$112,2,FALSE),0)+IF($C$4="Yes",0,(O42*TABLES!B138))</f>
        <v>0</v>
      </c>
      <c r="P43" s="11">
        <f>ROUND(P42*INDEX(TABLES!$C$103:$H$112,MATCH($B$43,TABLES!$A$103:$A$112,0),MATCH(P$5,TABLES!$C$102:$H$102,0))+P42*VLOOKUP($B$43,TABLES!$A$103:$B$112,2,FALSE),0)+IF($C$4="Yes",0,(P42*TABLES!B138))</f>
        <v>0</v>
      </c>
      <c r="Q43" s="15">
        <f>SUM(L43:P43)</f>
        <v>0</v>
      </c>
    </row>
    <row r="44" spans="1:18" ht="12.75" customHeight="1">
      <c r="A44" s="203" t="str">
        <f>IF(SUM(Q44:Q45)&gt;0,"BC21","")</f>
        <v/>
      </c>
      <c r="B44" s="13"/>
      <c r="D44" s="6" t="s">
        <v>19</v>
      </c>
      <c r="E44" s="308">
        <v>0</v>
      </c>
      <c r="F44" s="308">
        <v>0</v>
      </c>
      <c r="G44" s="308">
        <v>0</v>
      </c>
      <c r="H44" s="308">
        <v>0</v>
      </c>
      <c r="I44" s="308">
        <v>0</v>
      </c>
      <c r="J44" s="23"/>
      <c r="K44" s="6" t="s">
        <v>30</v>
      </c>
      <c r="L44" s="11">
        <f>IF($C$42&gt;0.24,ROUND(SUMIFS(TABLES!B$120,$B$42,"*(NRT)*",E43,"&gt;0")/9*E43,0),0)</f>
        <v>0</v>
      </c>
      <c r="M44" s="11">
        <f>IF($C$42&gt;0.24,ROUND(SUMIFS(TABLES!C$120,$B$42,"*(NRT)*",F43,"&gt;0")/9*F43,0),0)</f>
        <v>0</v>
      </c>
      <c r="N44" s="11">
        <f>IF($C$42&gt;0.24,ROUND(SUMIFS(TABLES!D$120,$B$42,"*(NRT)*",G43,"&gt;0")/9*G43,0),0)</f>
        <v>0</v>
      </c>
      <c r="O44" s="11">
        <f>IF($C$42&gt;0.24,ROUND(SUMIFS(TABLES!E$120,$B$42,"*(NRT)*",H43,"&gt;0")/9*H43,0),0)</f>
        <v>0</v>
      </c>
      <c r="P44" s="11">
        <f>IF($C$42&gt;0.24,ROUND(SUMIFS(TABLES!F$120,$B$42,"*(NRT)*",I43,"&gt;0")/9*I43,0),0)</f>
        <v>0</v>
      </c>
      <c r="Q44" s="15">
        <f>SUM(L44:P44)</f>
        <v>0</v>
      </c>
    </row>
    <row r="45" spans="1:18" ht="12.75" customHeight="1">
      <c r="A45" s="202"/>
      <c r="B45" s="146"/>
      <c r="C45" s="20"/>
      <c r="D45" s="20"/>
      <c r="E45" s="20"/>
      <c r="F45" s="21"/>
      <c r="G45" s="21"/>
      <c r="H45" s="21"/>
      <c r="I45" s="21"/>
      <c r="J45" s="21"/>
      <c r="K45" s="35" t="s">
        <v>31</v>
      </c>
      <c r="L45" s="141">
        <f>IF($C$42&gt;0.24,ROUND(SUMIFS(TABLES!B$118,$B$42,"*(NO NRT)*",E43,"&gt;0")/9*E43,0),0)</f>
        <v>0</v>
      </c>
      <c r="M45" s="141">
        <f>IF($C$42&gt;0.24,ROUND(SUMIFS(TABLES!C$118,$B$42,"*(NO NRT)*",F43,"&gt;0")/9*F43,0),0)</f>
        <v>0</v>
      </c>
      <c r="N45" s="141">
        <f>IF($C$42&gt;0.24,ROUND(SUMIFS(TABLES!D$118,$B$42,"*(NO NRT)*",G43,"&gt;0")/9*G43,0),0)</f>
        <v>0</v>
      </c>
      <c r="O45" s="141">
        <f>IF($C$42&gt;0.24,ROUND(SUMIFS(TABLES!E$118,$B$42,"*(NO NRT)*",H43,"&gt;0")/9*H43,0),0)</f>
        <v>0</v>
      </c>
      <c r="P45" s="141">
        <f>IF($C$42&gt;0.24,ROUND(SUMIFS(TABLES!F$118,$B$42,"*(NO NRT)*",I43,"&gt;0")/9*I43,0),0)</f>
        <v>0</v>
      </c>
      <c r="Q45" s="22">
        <f>SUM(L45:P45)</f>
        <v>0</v>
      </c>
    </row>
    <row r="46" spans="1:18" ht="12.75" customHeight="1">
      <c r="A46" s="202"/>
      <c r="B46" s="13"/>
      <c r="F46" s="23"/>
      <c r="G46" s="23"/>
      <c r="H46" s="23"/>
      <c r="I46" s="23"/>
      <c r="J46" s="23"/>
      <c r="K46" s="286" t="s">
        <v>20</v>
      </c>
      <c r="L46" s="287">
        <f>SUM(L42:L45)</f>
        <v>0</v>
      </c>
      <c r="M46" s="287">
        <f>SUM(M42:M45)</f>
        <v>0</v>
      </c>
      <c r="N46" s="287">
        <f t="shared" ref="N46" si="22">SUM(N42:N45)</f>
        <v>0</v>
      </c>
      <c r="O46" s="287">
        <f t="shared" ref="O46" si="23">SUM(O42:O45)</f>
        <v>0</v>
      </c>
      <c r="P46" s="287">
        <f t="shared" ref="P46" si="24">SUM(P42:P45)</f>
        <v>0</v>
      </c>
      <c r="Q46" s="313">
        <f t="shared" ref="Q46" si="25">SUM(Q42:Q45)</f>
        <v>0</v>
      </c>
    </row>
    <row r="47" spans="1:18" ht="12.75" customHeight="1">
      <c r="A47" s="202"/>
      <c r="B47" s="13"/>
      <c r="F47" s="23"/>
      <c r="G47" s="23"/>
      <c r="H47" s="23"/>
      <c r="I47" s="23"/>
      <c r="J47" s="23"/>
      <c r="K47" s="291" t="s">
        <v>32</v>
      </c>
      <c r="L47" s="292">
        <f>IF($C$42&gt;0.24,ROUND(SUMIFS(TABLES!B$116,$B$42,"*(NO NRT)*",E43,"&gt;0")/9*E43,0),0)</f>
        <v>0</v>
      </c>
      <c r="M47" s="292">
        <f>IF($C$42&gt;0.24,ROUND(SUMIFS(TABLES!C$116,$B$42,"*(NO NRT)*",F43,"&gt;0")/9*F43,0),0)</f>
        <v>0</v>
      </c>
      <c r="N47" s="292">
        <f>IF($C$42&gt;0.24,ROUND(SUMIFS(TABLES!D$116,$B$42,"*(NO NRT)*",G43,"&gt;0")/9*G43,0),0)</f>
        <v>0</v>
      </c>
      <c r="O47" s="292">
        <f>IF($C$42&gt;0.24,ROUND(SUMIFS(TABLES!E$116,$B$42,"*(NO NRT)*",H43,"&gt;0")/9*H43,0),0)</f>
        <v>0</v>
      </c>
      <c r="P47" s="292">
        <f>IF($C$42&gt;0.24,ROUND(SUMIFS(TABLES!F$116,$B$42,"*(NO NRT)*",I43,"&gt;0")/9*I43,0),0)</f>
        <v>0</v>
      </c>
      <c r="Q47" s="314">
        <f>SUM(L47:P47)</f>
        <v>0</v>
      </c>
    </row>
    <row r="48" spans="1:18" ht="12.75" customHeight="1">
      <c r="A48" s="202"/>
      <c r="B48" s="13"/>
      <c r="F48" s="23"/>
      <c r="G48" s="23"/>
      <c r="H48" s="23"/>
      <c r="I48" s="23"/>
      <c r="J48" s="23"/>
      <c r="K48" s="293" t="s">
        <v>33</v>
      </c>
      <c r="L48" s="294">
        <f>IF($C$42&gt;0.24,ROUND(SUMIFS(TABLES!B$117,$B$42,"*(NO NRT)*",E43,"&gt;0")/9*E43,0),0)</f>
        <v>0</v>
      </c>
      <c r="M48" s="294">
        <f>IF($C$42&gt;0.24,ROUND(SUMIFS(TABLES!C$117,$B$42,"*(NO NRT)*",F43,"&gt;0")/9*F43,0),0)</f>
        <v>0</v>
      </c>
      <c r="N48" s="294">
        <f>IF($C$42&gt;0.24,ROUND(SUMIFS(TABLES!D$117,$B$42,"*(NO NRT)*",G43,"&gt;0")/9*G43,0),0)</f>
        <v>0</v>
      </c>
      <c r="O48" s="294">
        <f>IF($C$42&gt;0.24,ROUND(SUMIFS(TABLES!E$117,$B$42,"*(NO NRT)*",H43,"&gt;0")/9*H43,0),0)</f>
        <v>0</v>
      </c>
      <c r="P48" s="294">
        <f>IF($C$42&gt;0.24,ROUND(SUMIFS(TABLES!F$117,$B$42,"*(NO NRT)*",I43,"&gt;0")/9*I43,0),0)</f>
        <v>0</v>
      </c>
      <c r="Q48" s="315">
        <f>SUM(L48:P48)</f>
        <v>0</v>
      </c>
    </row>
    <row r="49" spans="1:17" ht="12.75" customHeight="1">
      <c r="A49" s="202"/>
      <c r="B49" s="13"/>
      <c r="F49" s="23"/>
      <c r="G49" s="23"/>
      <c r="H49" s="23"/>
      <c r="I49" s="23"/>
      <c r="J49" s="23"/>
      <c r="M49" s="52"/>
      <c r="N49" s="52"/>
      <c r="O49" s="52"/>
      <c r="Q49" s="15"/>
    </row>
    <row r="50" spans="1:17" ht="12.75" customHeight="1">
      <c r="A50" s="202"/>
      <c r="B50" s="28" t="s">
        <v>35</v>
      </c>
      <c r="C50" s="134" t="s">
        <v>28</v>
      </c>
      <c r="D50" s="142"/>
      <c r="E50" s="143" t="s">
        <v>7</v>
      </c>
      <c r="F50" s="143" t="s">
        <v>8</v>
      </c>
      <c r="G50" s="143" t="s">
        <v>9</v>
      </c>
      <c r="H50" s="144" t="s">
        <v>10</v>
      </c>
      <c r="I50" s="144" t="s">
        <v>11</v>
      </c>
      <c r="J50" s="27"/>
      <c r="K50" s="27"/>
      <c r="L50" s="135" t="s">
        <v>7</v>
      </c>
      <c r="M50" s="135" t="s">
        <v>8</v>
      </c>
      <c r="N50" s="135" t="s">
        <v>9</v>
      </c>
      <c r="O50" s="135" t="s">
        <v>10</v>
      </c>
      <c r="P50" s="135" t="s">
        <v>11</v>
      </c>
      <c r="Q50" s="130" t="s">
        <v>12</v>
      </c>
    </row>
    <row r="51" spans="1:17" ht="12.75" customHeight="1">
      <c r="A51" s="203" t="str">
        <f>VLOOKUP(B51,TABLES!$A$12:$I$99,9,FALSE)</f>
        <v>BC11</v>
      </c>
      <c r="B51" s="303" t="s">
        <v>36</v>
      </c>
      <c r="C51" s="306">
        <v>0</v>
      </c>
      <c r="D51" s="5" t="s">
        <v>14</v>
      </c>
      <c r="E51" s="308">
        <v>0</v>
      </c>
      <c r="F51" s="308">
        <v>0</v>
      </c>
      <c r="G51" s="308">
        <v>0</v>
      </c>
      <c r="H51" s="308">
        <v>0</v>
      </c>
      <c r="I51" s="308">
        <v>0</v>
      </c>
      <c r="J51" s="136"/>
      <c r="K51" s="145" t="s">
        <v>15</v>
      </c>
      <c r="L51" s="262">
        <f>ROUND(IFERROR((IF(SUM(E51:E53)&gt;0,INDEX(TABLES!$C$12:$H$99,MATCH($B$51,TABLES!$A$12:$A$99,0),MATCH(L$5,TABLES!$C$11:$H$11,0)),"0")*$C$51),0)/12*SUM(E51:E53),0)</f>
        <v>0</v>
      </c>
      <c r="M51" s="262">
        <f>ROUND(IFERROR((IF(SUM(F51:F53)&gt;0,INDEX(TABLES!$C$12:$H$99,MATCH($B$51,TABLES!$A$12:$A$99,0),MATCH(M$5,TABLES!$C$11:$H$11,0)),"0")*$C$51),0)/12*SUM(F51:F53),0)</f>
        <v>0</v>
      </c>
      <c r="N51" s="262">
        <f>ROUND(IFERROR((IF(SUM(G51:G53)&gt;0,INDEX(TABLES!$C$12:$H$99,MATCH($B$51,TABLES!$A$12:$A$99,0),MATCH(N$5,TABLES!$C$11:$H$11,0)),"0")*$C$51),0)/12*SUM(G51:G53),0)</f>
        <v>0</v>
      </c>
      <c r="O51" s="262">
        <f>ROUND(IFERROR((IF(SUM(H51:H53)&gt;0,INDEX(TABLES!$C$12:$H$99,MATCH($B$51,TABLES!$A$12:$A$99,0),MATCH(O$5,TABLES!$C$11:$H$11,0)),"0")*$C$51),0)/12*SUM(H51:H53),0)</f>
        <v>0</v>
      </c>
      <c r="P51" s="262">
        <f>ROUND(IFERROR((IF(SUM(I51:I53)&gt;0,INDEX(TABLES!$C$12:$H$99,MATCH($B$51,TABLES!$A$12:$A$99,0),MATCH(P$5,TABLES!$C$11:$H$11,0)),"0")*$C$51),0)/12*SUM(I51:I53),0)</f>
        <v>0</v>
      </c>
      <c r="Q51" s="36">
        <f>SUM(L51:P51)</f>
        <v>0</v>
      </c>
    </row>
    <row r="52" spans="1:17" ht="12.75" customHeight="1">
      <c r="A52" s="203" t="str">
        <f>VLOOKUP(B52,TABLES!$A$102:$I$112,9,FALSE)</f>
        <v>BC20</v>
      </c>
      <c r="B52" s="13" t="str">
        <f>VLOOKUP(B51,TABLES!$A$12:$B$99,2,FALSE)</f>
        <v>Student</v>
      </c>
      <c r="D52" s="6" t="s">
        <v>16</v>
      </c>
      <c r="E52" s="308">
        <v>0</v>
      </c>
      <c r="F52" s="308">
        <v>0</v>
      </c>
      <c r="G52" s="308">
        <v>0</v>
      </c>
      <c r="H52" s="308">
        <v>0</v>
      </c>
      <c r="I52" s="308">
        <v>0</v>
      </c>
      <c r="J52" s="23"/>
      <c r="K52" s="6" t="s">
        <v>17</v>
      </c>
      <c r="L52" s="11">
        <f>ROUND(L51*INDEX(TABLES!$C$103:$H$112,MATCH($B$52,TABLES!$A$103:$A$112,0),MATCH(L$5,TABLES!$C$102:$H$102,0))+L51*VLOOKUP($B$52,TABLES!$A$103:$B$112,2,FALSE),0)+IF($C$4="Yes",0,(L51*TABLES!B138))</f>
        <v>0</v>
      </c>
      <c r="M52" s="11">
        <f>ROUND(M51*INDEX(TABLES!$C$103:$H$112,MATCH($B$52,TABLES!$A$103:$A$112,0),MATCH(M$5,TABLES!$C$102:$H$102,0))+M51*VLOOKUP($B$52,TABLES!$A$103:$B$112,2,FALSE),0)+IF($C$4="Yes",0,(M51*TABLES!B138))</f>
        <v>0</v>
      </c>
      <c r="N52" s="11">
        <f>ROUND(N51*INDEX(TABLES!$C$103:$H$112,MATCH($B$52,TABLES!$A$103:$A$112,0),MATCH(N$5,TABLES!$C$102:$H$102,0))+N51*VLOOKUP($B$52,TABLES!$A$103:$B$112,2,FALSE),0)+IF($C$4="Yes",0,(N51*TABLES!B138))</f>
        <v>0</v>
      </c>
      <c r="O52" s="11">
        <f>ROUND(O51*INDEX(TABLES!$C$103:$H$112,MATCH($B$52,TABLES!$A$103:$A$112,0),MATCH(O$5,TABLES!$C$102:$H$102,0))+O51*VLOOKUP($B$52,TABLES!$A$103:$B$112,2,FALSE),0)+IF($C$4="Yes",0,(O51*TABLES!B138))</f>
        <v>0</v>
      </c>
      <c r="P52" s="11">
        <f>ROUND(P51*INDEX(TABLES!$C$103:$H$112,MATCH($B$52,TABLES!$A$103:$A$112,0),MATCH(P$5,TABLES!$C$102:$H$102,0))+P51*VLOOKUP($B$52,TABLES!$A$103:$B$112,2,FALSE),0)+IF($C$4="Yes",0,(P51*TABLES!B138))</f>
        <v>0</v>
      </c>
      <c r="Q52" s="15">
        <f>SUM(L52:P52)</f>
        <v>0</v>
      </c>
    </row>
    <row r="53" spans="1:17" ht="12.75" customHeight="1">
      <c r="A53" s="203" t="str">
        <f>IF(SUM(Q53:Q54)&gt;0,"BC21","")</f>
        <v/>
      </c>
      <c r="B53" s="13"/>
      <c r="D53" s="6" t="s">
        <v>19</v>
      </c>
      <c r="E53" s="308">
        <v>0</v>
      </c>
      <c r="F53" s="308">
        <v>0</v>
      </c>
      <c r="G53" s="308">
        <v>0</v>
      </c>
      <c r="H53" s="308">
        <v>0</v>
      </c>
      <c r="I53" s="308">
        <v>0</v>
      </c>
      <c r="J53" s="23"/>
      <c r="K53" s="6" t="s">
        <v>30</v>
      </c>
      <c r="L53" s="11">
        <f>IF($C$51&gt;0.24,ROUND(SUMIFS(TABLES!B$120,$B$51,"*(NRT)*",E52,"&gt;0")/9*E52,0),0)</f>
        <v>0</v>
      </c>
      <c r="M53" s="11">
        <f>IF($C$51&gt;0.24,ROUND(SUMIFS(TABLES!C$120,$B$51,"*(NRT)*",F52,"&gt;0")/9*F52,0),0)</f>
        <v>0</v>
      </c>
      <c r="N53" s="11">
        <f>IF($C$51&gt;0.24,ROUND(SUMIFS(TABLES!D$120,$B$51,"*(NRT)*",G52,"&gt;0")/9*G52,0),0)</f>
        <v>0</v>
      </c>
      <c r="O53" s="11">
        <f>IF($C$51&gt;0.24,ROUND(SUMIFS(TABLES!E$120,$B$51,"*(NRT)*",H52,"&gt;0")/9*H52,0),0)</f>
        <v>0</v>
      </c>
      <c r="P53" s="11">
        <f>IF($C$51&gt;0.24,ROUND(SUMIFS(TABLES!F$120,$B$51,"*(NRT)*",I52,"&gt;0")/9*I52,0),0)</f>
        <v>0</v>
      </c>
      <c r="Q53" s="15">
        <f>SUM(L53:P53)</f>
        <v>0</v>
      </c>
    </row>
    <row r="54" spans="1:17" ht="12.75" customHeight="1">
      <c r="A54" s="202"/>
      <c r="B54" s="146"/>
      <c r="C54" s="20"/>
      <c r="D54" s="20"/>
      <c r="E54" s="20"/>
      <c r="F54" s="21"/>
      <c r="G54" s="21"/>
      <c r="H54" s="21"/>
      <c r="I54" s="21"/>
      <c r="J54" s="21"/>
      <c r="K54" s="35" t="s">
        <v>31</v>
      </c>
      <c r="L54" s="141">
        <f>IF($C$51&gt;0.24,ROUND(SUMIFS(TABLES!B$118,$B$51,"*(NO NRT)*",E52,"&gt;0")/9*E52,0),0)</f>
        <v>0</v>
      </c>
      <c r="M54" s="141">
        <f>IF($C$51&gt;0.24,ROUND(SUMIFS(TABLES!C$118,$B$51,"*(NO NRT)*",F52,"&gt;0")/9*F52,0),0)</f>
        <v>0</v>
      </c>
      <c r="N54" s="141">
        <f>IF($C$51&gt;0.24,ROUND(SUMIFS(TABLES!D$118,$B$51,"*(NO NRT)*",G52,"&gt;0")/9*G52,0),0)</f>
        <v>0</v>
      </c>
      <c r="O54" s="141">
        <f>IF($C$51&gt;0.24,ROUND(SUMIFS(TABLES!E$118,$B$51,"*(NO NRT)*",H52,"&gt;0")/9*H52,0),0)</f>
        <v>0</v>
      </c>
      <c r="P54" s="141">
        <f>IF($C$51&gt;0.24,ROUND(SUMIFS(TABLES!F$118,$B$51,"*(NO NRT)*",I52,"&gt;0")/9*I52,0),0)</f>
        <v>0</v>
      </c>
      <c r="Q54" s="22">
        <f>SUM(L54:P54)</f>
        <v>0</v>
      </c>
    </row>
    <row r="55" spans="1:17" ht="12.75" customHeight="1">
      <c r="A55" s="202"/>
      <c r="B55" s="13"/>
      <c r="F55" s="23"/>
      <c r="G55" s="23"/>
      <c r="H55" s="23"/>
      <c r="I55" s="23"/>
      <c r="J55" s="23"/>
      <c r="K55" s="286" t="s">
        <v>20</v>
      </c>
      <c r="L55" s="287">
        <f>SUM(L51:L54)</f>
        <v>0</v>
      </c>
      <c r="M55" s="287">
        <f t="shared" ref="M55" si="26">SUM(M51:M54)</f>
        <v>0</v>
      </c>
      <c r="N55" s="287">
        <f t="shared" ref="N55" si="27">SUM(N51:N54)</f>
        <v>0</v>
      </c>
      <c r="O55" s="287">
        <f t="shared" ref="O55" si="28">SUM(O51:O54)</f>
        <v>0</v>
      </c>
      <c r="P55" s="287">
        <f t="shared" ref="P55" si="29">SUM(P51:P54)</f>
        <v>0</v>
      </c>
      <c r="Q55" s="313">
        <f t="shared" ref="Q55" si="30">SUM(Q51:Q54)</f>
        <v>0</v>
      </c>
    </row>
    <row r="56" spans="1:17" ht="12.75" customHeight="1">
      <c r="A56" s="202"/>
      <c r="B56" s="13"/>
      <c r="F56" s="23"/>
      <c r="G56" s="23"/>
      <c r="H56" s="23"/>
      <c r="I56" s="23"/>
      <c r="J56" s="23"/>
      <c r="K56" s="291" t="s">
        <v>32</v>
      </c>
      <c r="L56" s="292">
        <f>IF($C$51&gt;0.24,ROUND(SUMIFS(TABLES!B$116,$B$51,"*(NO NRT)*",E52,"&gt;0")/9*E52,0),0)</f>
        <v>0</v>
      </c>
      <c r="M56" s="292">
        <f>IF($C$51&gt;0.24,ROUND(SUMIFS(TABLES!C$116,$B$51,"*(NO NRT)*",F52,"&gt;0")/9*F52,0),0)</f>
        <v>0</v>
      </c>
      <c r="N56" s="292">
        <f>IF($C$51&gt;0.24,ROUND(SUMIFS(TABLES!D$116,$B$51,"*(NO NRT)*",G52,"&gt;0")/9*G52,0),0)</f>
        <v>0</v>
      </c>
      <c r="O56" s="292">
        <f>IF($C$51&gt;0.24,ROUND(SUMIFS(TABLES!E$116,$B$51,"*(NO NRT)*",H52,"&gt;0")/9*H52,0),0)</f>
        <v>0</v>
      </c>
      <c r="P56" s="292">
        <f>IF($C$51&gt;0.24,ROUND(SUMIFS(TABLES!F$116,$B$51,"*(NO NRT)*",I52,"&gt;0")/9*I52,0),0)</f>
        <v>0</v>
      </c>
      <c r="Q56" s="314">
        <f>SUM(L56:P56)</f>
        <v>0</v>
      </c>
    </row>
    <row r="57" spans="1:17" ht="12.75" customHeight="1">
      <c r="A57" s="202"/>
      <c r="B57" s="13"/>
      <c r="F57" s="23"/>
      <c r="G57" s="23"/>
      <c r="H57" s="23"/>
      <c r="I57" s="23"/>
      <c r="J57" s="23"/>
      <c r="K57" s="293" t="s">
        <v>33</v>
      </c>
      <c r="L57" s="294">
        <f>IF($C$51&gt;0.24,ROUND(SUMIFS(TABLES!B$117,$B$51,"*(NO NRT)*",E52,"&gt;0")/9*E52,0),0)</f>
        <v>0</v>
      </c>
      <c r="M57" s="294">
        <f>IF($C$51&gt;0.24,ROUND(SUMIFS(TABLES!C$117,$B$51,"*(NO NRT)*",F52,"&gt;0")/9*F52,0),0)</f>
        <v>0</v>
      </c>
      <c r="N57" s="294">
        <f>IF($C$51&gt;0.24,ROUND(SUMIFS(TABLES!D$117,$B$51,"*(NO NRT)*",G52,"&gt;0")/9*G52,0),0)</f>
        <v>0</v>
      </c>
      <c r="O57" s="294">
        <f>IF($C$51&gt;0.24,ROUND(SUMIFS(TABLES!E$117,$B$51,"*(NO NRT)*",H52,"&gt;0")/9*H52,0),0)</f>
        <v>0</v>
      </c>
      <c r="P57" s="294">
        <f>IF($C$51&gt;0.24,ROUND(SUMIFS(TABLES!F$117,$B$51,"*(NO NRT)*",I52,"&gt;0")/9*I52,0),0)</f>
        <v>0</v>
      </c>
      <c r="Q57" s="315">
        <f>SUM(L57:P57)</f>
        <v>0</v>
      </c>
    </row>
    <row r="58" spans="1:17" ht="12.75" customHeight="1">
      <c r="A58" s="202"/>
      <c r="B58" s="13"/>
      <c r="F58" s="23"/>
      <c r="G58" s="23"/>
      <c r="H58" s="23"/>
      <c r="I58" s="23"/>
      <c r="J58" s="23"/>
      <c r="M58" s="52"/>
      <c r="N58" s="52"/>
      <c r="O58" s="52"/>
      <c r="Q58" s="15"/>
    </row>
    <row r="59" spans="1:17" ht="12.75" customHeight="1">
      <c r="A59" s="202"/>
      <c r="B59" s="28" t="s">
        <v>37</v>
      </c>
      <c r="C59" s="134" t="s">
        <v>28</v>
      </c>
      <c r="D59" s="142"/>
      <c r="E59" s="143" t="s">
        <v>7</v>
      </c>
      <c r="F59" s="143" t="s">
        <v>8</v>
      </c>
      <c r="G59" s="143" t="s">
        <v>9</v>
      </c>
      <c r="H59" s="144" t="s">
        <v>10</v>
      </c>
      <c r="I59" s="144" t="s">
        <v>11</v>
      </c>
      <c r="J59" s="27"/>
      <c r="K59" s="27"/>
      <c r="L59" s="135" t="s">
        <v>7</v>
      </c>
      <c r="M59" s="135" t="s">
        <v>8</v>
      </c>
      <c r="N59" s="135" t="s">
        <v>9</v>
      </c>
      <c r="O59" s="135" t="s">
        <v>10</v>
      </c>
      <c r="P59" s="135" t="s">
        <v>11</v>
      </c>
      <c r="Q59" s="130" t="s">
        <v>12</v>
      </c>
    </row>
    <row r="60" spans="1:17" ht="12.75" customHeight="1">
      <c r="A60" s="203" t="str">
        <f>VLOOKUP(B60,TABLES!$A$12:$I$99,9,FALSE)</f>
        <v>BC28</v>
      </c>
      <c r="B60" s="303" t="s">
        <v>38</v>
      </c>
      <c r="C60" s="306">
        <v>0</v>
      </c>
      <c r="D60" s="5" t="s">
        <v>14</v>
      </c>
      <c r="E60" s="308">
        <v>0</v>
      </c>
      <c r="F60" s="308">
        <v>0</v>
      </c>
      <c r="G60" s="308">
        <v>0</v>
      </c>
      <c r="H60" s="308">
        <v>0</v>
      </c>
      <c r="I60" s="308">
        <v>0</v>
      </c>
      <c r="J60" s="136"/>
      <c r="K60" s="145" t="s">
        <v>15</v>
      </c>
      <c r="L60" s="262">
        <f>ROUND(IFERROR((IF(SUM(E60:E62)&gt;0,INDEX(TABLES!$C$12:$H$99,MATCH($B$60,TABLES!$A$12:$A$99,0),MATCH(L$5,TABLES!$C$11:$H$11,0)),"0")*$C$60),0)/12*SUM(E60:E62),0)</f>
        <v>0</v>
      </c>
      <c r="M60" s="262">
        <f>ROUND(IFERROR((IF(SUM(F60:F62)&gt;0,INDEX(TABLES!$C$12:$H$99,MATCH($B$60,TABLES!$A$12:$A$99,0),MATCH(M$5,TABLES!$C$11:$H$11,0)),"0")*$C$60),0)/12*SUM(F60:F62),0)</f>
        <v>0</v>
      </c>
      <c r="N60" s="262">
        <f>ROUND(IFERROR((IF(SUM(G60:G62)&gt;0,INDEX(TABLES!$C$12:$H$99,MATCH($B$60,TABLES!$A$12:$A$99,0),MATCH(N$5,TABLES!$C$11:$H$11,0)),"0")*$C$60),0)/12*SUM(G60:G62),0)</f>
        <v>0</v>
      </c>
      <c r="O60" s="262">
        <f>ROUND(IFERROR((IF(SUM(H60:H62)&gt;0,INDEX(TABLES!$C$12:$H$99,MATCH($B$60,TABLES!$A$12:$A$99,0),MATCH(O$5,TABLES!$C$11:$H$11,0)),"0")*$C$60),0)/12*SUM(H60:H62),0)</f>
        <v>0</v>
      </c>
      <c r="P60" s="262">
        <f>ROUND(IFERROR((IF(SUM(I60:I62)&gt;0,INDEX(TABLES!$C$12:$H$99,MATCH($B$60,TABLES!$A$12:$A$99,0),MATCH(P$5,TABLES!$C$11:$H$11,0)),"0")*$C$60),0)/12*SUM(I60:I62),0)</f>
        <v>0</v>
      </c>
      <c r="Q60" s="36">
        <f>SUM(L60:P60)</f>
        <v>0</v>
      </c>
    </row>
    <row r="61" spans="1:17" ht="12.75" customHeight="1">
      <c r="A61" s="203" t="str">
        <f>VLOOKUP(B61,TABLES!$A$102:$I$112,9,FALSE)</f>
        <v>BC30</v>
      </c>
      <c r="B61" s="13" t="str">
        <f>VLOOKUP(B60,TABLES!$A$12:$B$99,2,FALSE)</f>
        <v>Staff Non-Exempt</v>
      </c>
      <c r="D61" s="6" t="s">
        <v>16</v>
      </c>
      <c r="E61" s="308">
        <v>0</v>
      </c>
      <c r="F61" s="308">
        <v>0</v>
      </c>
      <c r="G61" s="308">
        <v>0</v>
      </c>
      <c r="H61" s="308">
        <v>0</v>
      </c>
      <c r="I61" s="308">
        <v>0</v>
      </c>
      <c r="J61" s="23"/>
      <c r="K61" s="6" t="s">
        <v>17</v>
      </c>
      <c r="L61" s="11">
        <f>ROUND(L60*INDEX(TABLES!$C$103:$H$112,MATCH($B$61,TABLES!$A$103:$A$112,0),MATCH(L$5,TABLES!$C$102:$H$102,0))+L60*VLOOKUP($B$61,TABLES!$A$103:$B$112,2,FALSE),0)+IF($C$4="Yes",0,(L60*TABLES!B138))</f>
        <v>0</v>
      </c>
      <c r="M61" s="11">
        <f>ROUND(M60*INDEX(TABLES!$C$103:$H$112,MATCH($B$61,TABLES!$A$103:$A$112,0),MATCH(M$5,TABLES!$C$102:$H$102,0))+M60*VLOOKUP($B$61,TABLES!$A$103:$B$112,2,FALSE),0)+IF($C$4="Yes",0,(M60*TABLES!B138))</f>
        <v>0</v>
      </c>
      <c r="N61" s="11">
        <f>ROUND(N60*INDEX(TABLES!$C$103:$H$112,MATCH($B$61,TABLES!$A$103:$A$112,0),MATCH(N$5,TABLES!$C$102:$H$102,0))+N60*VLOOKUP($B$61,TABLES!$A$103:$B$112,2,FALSE),0)+IF($C$4="Yes",0,(N60*TABLES!B138))</f>
        <v>0</v>
      </c>
      <c r="O61" s="11">
        <f>ROUND(O60*INDEX(TABLES!$C$103:$H$112,MATCH($B$61,TABLES!$A$103:$A$112,0),MATCH(O$5,TABLES!$C$102:$H$102,0))+O60*VLOOKUP($B$61,TABLES!$A$103:$B$112,2,FALSE),0)+IF($C$4="Yes",0,(O60*TABLES!B138))</f>
        <v>0</v>
      </c>
      <c r="P61" s="11">
        <f>ROUND(P60*INDEX(TABLES!$C$103:$H$112,MATCH($B$61,TABLES!$A$103:$A$112,0),MATCH(P$5,TABLES!$C$102:$H$102,0))+P60*VLOOKUP($B$61,TABLES!$A$103:$B$112,2,FALSE),0)+IF($C$4="Yes",0,(P60*TABLES!B138))</f>
        <v>0</v>
      </c>
      <c r="Q61" s="15">
        <f>SUM(L61:P61)</f>
        <v>0</v>
      </c>
    </row>
    <row r="62" spans="1:17" ht="12.75" customHeight="1">
      <c r="A62" s="203" t="str">
        <f>IF(SUM(Q62:Q63)&gt;0,"BC21","")</f>
        <v/>
      </c>
      <c r="B62" s="13"/>
      <c r="D62" s="6" t="s">
        <v>19</v>
      </c>
      <c r="E62" s="308">
        <v>0</v>
      </c>
      <c r="F62" s="308">
        <v>0</v>
      </c>
      <c r="G62" s="308">
        <v>0</v>
      </c>
      <c r="H62" s="308">
        <v>0</v>
      </c>
      <c r="I62" s="308">
        <v>0</v>
      </c>
      <c r="J62" s="23"/>
      <c r="K62" s="6" t="s">
        <v>30</v>
      </c>
      <c r="L62" s="11">
        <f>IF($C$60&gt;0.24,ROUND(SUMIFS(TABLES!B$120,$B$60,"*(NRT)*",E61,"&gt;0")/9*E61,0),0)</f>
        <v>0</v>
      </c>
      <c r="M62" s="11">
        <f>IF($C$60&gt;0.24,ROUND(SUMIFS(TABLES!C$120,$B$60,"*(NRT)*",F61,"&gt;0")/9*F61,0),0)</f>
        <v>0</v>
      </c>
      <c r="N62" s="11">
        <f>IF($C$60&gt;0.24,ROUND(SUMIFS(TABLES!D$120,$B$60,"*(NRT)*",G61,"&gt;0")/9*G61,0),0)</f>
        <v>0</v>
      </c>
      <c r="O62" s="11">
        <f>IF($C$60&gt;0.24,ROUND(SUMIFS(TABLES!E$120,$B$60,"*(NRT)*",H61,"&gt;0")/9*H61,0),0)</f>
        <v>0</v>
      </c>
      <c r="P62" s="11">
        <f>IF($C$60&gt;0.24,ROUND(SUMIFS(TABLES!F$120,$B$60,"*(NRT)*",I61,"&gt;0")/9*I61,0),0)</f>
        <v>0</v>
      </c>
      <c r="Q62" s="15">
        <f>SUM(L62:P62)</f>
        <v>0</v>
      </c>
    </row>
    <row r="63" spans="1:17" ht="12.75" customHeight="1">
      <c r="A63" s="202"/>
      <c r="B63" s="146"/>
      <c r="C63" s="20"/>
      <c r="D63" s="20"/>
      <c r="E63" s="20"/>
      <c r="F63" s="21"/>
      <c r="G63" s="21"/>
      <c r="H63" s="21"/>
      <c r="I63" s="21"/>
      <c r="J63" s="21"/>
      <c r="K63" s="35" t="s">
        <v>31</v>
      </c>
      <c r="L63" s="141">
        <f>IF($C$60&gt;0.24,ROUND(SUMIFS(TABLES!B$118,$B$60,"*(NO NRT)*",E61,"&gt;0")/9*E61,0),0)</f>
        <v>0</v>
      </c>
      <c r="M63" s="141">
        <f>IF($C$60&gt;0.24,ROUND(SUMIFS(TABLES!C$118,$B$60,"*(NO NRT)*",F61,"&gt;0")/9*F61,0),0)</f>
        <v>0</v>
      </c>
      <c r="N63" s="141">
        <f>IF($C$60&gt;0.24,ROUND(SUMIFS(TABLES!D$118,$B$60,"*(NO NRT)*",G61,"&gt;0")/9*G61,0),0)</f>
        <v>0</v>
      </c>
      <c r="O63" s="141">
        <f>IF($C$60&gt;0.24,ROUND(SUMIFS(TABLES!E$118,$B$60,"*(NO NRT)*",H61,"&gt;0")/9*H61,0),0)</f>
        <v>0</v>
      </c>
      <c r="P63" s="141">
        <f>IF($C$60&gt;0.24,ROUND(SUMIFS(TABLES!F$118,$B$60,"*(NO NRT)*",I61,"&gt;0")/9*I61,0),0)</f>
        <v>0</v>
      </c>
      <c r="Q63" s="22">
        <f>SUM(L63:P63)</f>
        <v>0</v>
      </c>
    </row>
    <row r="64" spans="1:17" ht="12.75" customHeight="1">
      <c r="A64" s="202"/>
      <c r="B64" s="13"/>
      <c r="F64" s="23"/>
      <c r="G64" s="23"/>
      <c r="H64" s="23"/>
      <c r="I64" s="23"/>
      <c r="J64" s="23"/>
      <c r="K64" s="286" t="s">
        <v>20</v>
      </c>
      <c r="L64" s="287">
        <f>SUM(L60:L63)</f>
        <v>0</v>
      </c>
      <c r="M64" s="287">
        <f t="shared" ref="M64" si="31">SUM(M60:M63)</f>
        <v>0</v>
      </c>
      <c r="N64" s="287">
        <f t="shared" ref="N64" si="32">SUM(N60:N63)</f>
        <v>0</v>
      </c>
      <c r="O64" s="287">
        <f t="shared" ref="O64" si="33">SUM(O60:O63)</f>
        <v>0</v>
      </c>
      <c r="P64" s="287">
        <f t="shared" ref="P64" si="34">SUM(P60:P63)</f>
        <v>0</v>
      </c>
      <c r="Q64" s="313">
        <f t="shared" ref="Q64" si="35">SUM(Q60:Q63)</f>
        <v>0</v>
      </c>
    </row>
    <row r="65" spans="1:17" ht="12.75" customHeight="1">
      <c r="A65" s="202"/>
      <c r="B65" s="13"/>
      <c r="F65" s="23"/>
      <c r="G65" s="23"/>
      <c r="H65" s="23"/>
      <c r="I65" s="23"/>
      <c r="J65" s="23"/>
      <c r="K65" s="291" t="s">
        <v>32</v>
      </c>
      <c r="L65" s="292">
        <f>IF($C$60&gt;0.24,ROUND(SUMIFS(TABLES!B$116,$B$60,"*(NO NRT)*",E61,"&gt;0")/9*E61,0),0)</f>
        <v>0</v>
      </c>
      <c r="M65" s="292">
        <f>IF($C$60&gt;0.24,ROUND(SUMIFS(TABLES!C$116,$B$60,"*(NO NRT)*",F61,"&gt;0")/9*F61,0),0)</f>
        <v>0</v>
      </c>
      <c r="N65" s="292">
        <f>IF($C$60&gt;0.24,ROUND(SUMIFS(TABLES!D$116,$B$60,"*(NO NRT)*",G61,"&gt;0")/9*G61,0),0)</f>
        <v>0</v>
      </c>
      <c r="O65" s="292">
        <f>IF($C$60&gt;0.24,ROUND(SUMIFS(TABLES!E$116,$B$60,"*(NO NRT)*",H61,"&gt;0")/9*H61,0),0)</f>
        <v>0</v>
      </c>
      <c r="P65" s="292">
        <f>IF($C$60&gt;0.24,ROUND(SUMIFS(TABLES!F$116,$B$60,"*(NO NRT)*",I61,"&gt;0")/9*I61,0),0)</f>
        <v>0</v>
      </c>
      <c r="Q65" s="314">
        <f>SUM(L65:P65)</f>
        <v>0</v>
      </c>
    </row>
    <row r="66" spans="1:17" ht="12.75" customHeight="1">
      <c r="A66" s="202"/>
      <c r="B66" s="13"/>
      <c r="F66" s="23"/>
      <c r="G66" s="23"/>
      <c r="H66" s="23"/>
      <c r="I66" s="23"/>
      <c r="J66" s="23"/>
      <c r="K66" s="293" t="s">
        <v>33</v>
      </c>
      <c r="L66" s="294">
        <f>IF($C$60&gt;0.24,ROUND(SUMIFS(TABLES!B$117,$B$60,"*(NO NRT)*",E61,"&gt;0")/9*E61,0),0)</f>
        <v>0</v>
      </c>
      <c r="M66" s="294">
        <f>IF($C$60&gt;0.24,ROUND(SUMIFS(TABLES!C$117,$B$60,"*(NO NRT)*",F61,"&gt;0")/9*F61,0),0)</f>
        <v>0</v>
      </c>
      <c r="N66" s="294">
        <f>IF($C$60&gt;0.24,ROUND(SUMIFS(TABLES!D$117,$B$60,"*(NO NRT)*",G61,"&gt;0")/9*G61,0),0)</f>
        <v>0</v>
      </c>
      <c r="O66" s="294">
        <f>IF($C$60&gt;0.24,ROUND(SUMIFS(TABLES!E$117,$B$60,"*(NO NRT)*",H61,"&gt;0")/9*H61,0),0)</f>
        <v>0</v>
      </c>
      <c r="P66" s="294">
        <f>IF($C$60&gt;0.24,ROUND(SUMIFS(TABLES!F$117,$B$60,"*(NO NRT)*",I61,"&gt;0")/9*I61,0),0)</f>
        <v>0</v>
      </c>
      <c r="Q66" s="315">
        <f>SUM(L66:P66)</f>
        <v>0</v>
      </c>
    </row>
    <row r="67" spans="1:17" ht="12.75" customHeight="1">
      <c r="A67" s="202"/>
      <c r="B67" s="13"/>
      <c r="F67" s="23"/>
      <c r="G67" s="23"/>
      <c r="H67" s="23"/>
      <c r="I67" s="23"/>
      <c r="J67" s="23"/>
      <c r="M67" s="52"/>
      <c r="N67" s="52"/>
      <c r="O67" s="52"/>
      <c r="Q67" s="15"/>
    </row>
    <row r="68" spans="1:17" ht="12.75" customHeight="1">
      <c r="A68" s="202"/>
      <c r="B68" s="28" t="s">
        <v>39</v>
      </c>
      <c r="C68" s="134" t="s">
        <v>28</v>
      </c>
      <c r="D68" s="142"/>
      <c r="E68" s="143" t="s">
        <v>7</v>
      </c>
      <c r="F68" s="143" t="s">
        <v>8</v>
      </c>
      <c r="G68" s="143" t="s">
        <v>9</v>
      </c>
      <c r="H68" s="144" t="s">
        <v>10</v>
      </c>
      <c r="I68" s="144" t="s">
        <v>11</v>
      </c>
      <c r="J68" s="27"/>
      <c r="K68" s="27"/>
      <c r="L68" s="135" t="s">
        <v>7</v>
      </c>
      <c r="M68" s="135" t="s">
        <v>8</v>
      </c>
      <c r="N68" s="135" t="s">
        <v>9</v>
      </c>
      <c r="O68" s="135" t="s">
        <v>10</v>
      </c>
      <c r="P68" s="135" t="s">
        <v>11</v>
      </c>
      <c r="Q68" s="130" t="s">
        <v>12</v>
      </c>
    </row>
    <row r="69" spans="1:17" ht="12.75" customHeight="1">
      <c r="A69" s="203" t="str">
        <f>VLOOKUP(B69,TABLES!$A$12:$I$99,9,FALSE)</f>
        <v>BC28</v>
      </c>
      <c r="B69" s="303" t="s">
        <v>38</v>
      </c>
      <c r="C69" s="306">
        <v>1</v>
      </c>
      <c r="D69" s="5" t="s">
        <v>14</v>
      </c>
      <c r="E69" s="308">
        <v>0</v>
      </c>
      <c r="F69" s="308">
        <v>0</v>
      </c>
      <c r="G69" s="308">
        <v>0</v>
      </c>
      <c r="H69" s="308">
        <v>0</v>
      </c>
      <c r="I69" s="308">
        <v>0</v>
      </c>
      <c r="J69" s="136"/>
      <c r="K69" s="145" t="s">
        <v>15</v>
      </c>
      <c r="L69" s="262">
        <f>ROUND(IFERROR((IF(SUM(E69:E71)&gt;0,INDEX(TABLES!$C$12:$H$99,MATCH($B$69,TABLES!$A$12:$A$99,0),MATCH(L$5,TABLES!$C$11:$H$11,0)),"0")*$C$69),0)/12*SUM(E69:E71),0)</f>
        <v>0</v>
      </c>
      <c r="M69" s="262">
        <f>ROUND(IFERROR((IF(SUM(F69:F71)&gt;0,INDEX(TABLES!$C$12:$H$99,MATCH($B$69,TABLES!$A$12:$A$99,0),MATCH(M$5,TABLES!$C$11:$H$11,0)),"0")*$C$69),0)/12*SUM(F69:F71),0)</f>
        <v>0</v>
      </c>
      <c r="N69" s="262">
        <f>ROUND(IFERROR((IF(SUM(G69:G71)&gt;0,INDEX(TABLES!$C$12:$H$99,MATCH($B$69,TABLES!$A$12:$A$99,0),MATCH(N$5,TABLES!$C$11:$H$11,0)),"0")*$C$69),0)/12*SUM(G69:G71),0)</f>
        <v>0</v>
      </c>
      <c r="O69" s="262">
        <f>ROUND(IFERROR((IF(SUM(H69:H71)&gt;0,INDEX(TABLES!$C$12:$H$99,MATCH($B$69,TABLES!$A$12:$A$99,0),MATCH(O$5,TABLES!$C$11:$H$11,0)),"0")*$C$69),0)/12*SUM(H69:H71),0)</f>
        <v>0</v>
      </c>
      <c r="P69" s="262">
        <f>ROUND(IFERROR((IF(SUM(I69:I71)&gt;0,INDEX(TABLES!$C$12:$H$99,MATCH($B$69,TABLES!$A$12:$A$99,0),MATCH(P$5,TABLES!$C$11:$H$11,0)),"0")*$C$69),0)/12*SUM(I69:I71),0)</f>
        <v>0</v>
      </c>
      <c r="Q69" s="36">
        <f>SUM(L69:P69)</f>
        <v>0</v>
      </c>
    </row>
    <row r="70" spans="1:17" ht="12.75" customHeight="1">
      <c r="A70" s="203" t="str">
        <f>VLOOKUP(B70,TABLES!$A$102:$I$112,9,FALSE)</f>
        <v>BC30</v>
      </c>
      <c r="B70" s="13" t="str">
        <f>VLOOKUP(B69,TABLES!$A$12:$B$99,2,FALSE)</f>
        <v>Staff Non-Exempt</v>
      </c>
      <c r="D70" s="6" t="s">
        <v>16</v>
      </c>
      <c r="E70" s="308">
        <v>0</v>
      </c>
      <c r="F70" s="308">
        <v>0</v>
      </c>
      <c r="G70" s="308">
        <v>0</v>
      </c>
      <c r="H70" s="308">
        <v>0</v>
      </c>
      <c r="I70" s="308">
        <v>0</v>
      </c>
      <c r="J70" s="23"/>
      <c r="K70" s="6" t="s">
        <v>17</v>
      </c>
      <c r="L70" s="11">
        <f>ROUND(L69*INDEX(TABLES!$C$103:$H$112,MATCH($B$70,TABLES!$A$103:$A$112,0),MATCH(L$5,TABLES!$C$102:$H$102,0))+L69*VLOOKUP($B$70,TABLES!$A$103:$B$112,2,FALSE),0)+IF($C$4="Yes",0,(L69*TABLES!B138))</f>
        <v>0</v>
      </c>
      <c r="M70" s="11">
        <f>ROUND(M69*INDEX(TABLES!$C$103:$H$112,MATCH($B$70,TABLES!$A$103:$A$112,0),MATCH(M$5,TABLES!$C$102:$H$102,0))+M69*VLOOKUP($B$70,TABLES!$A$103:$B$112,2,FALSE),0)+IF($C$4="Yes",0,(M69*TABLES!B138))</f>
        <v>0</v>
      </c>
      <c r="N70" s="11">
        <f>ROUND(N69*INDEX(TABLES!$C$103:$H$112,MATCH($B$70,TABLES!$A$103:$A$112,0),MATCH(N$5,TABLES!$C$102:$H$102,0))+N69*VLOOKUP($B$70,TABLES!$A$103:$B$112,2,FALSE),0)+IF($C$4="Yes",0,(N69*TABLES!B138))</f>
        <v>0</v>
      </c>
      <c r="O70" s="11">
        <f>ROUND(O69*INDEX(TABLES!$C$103:$H$112,MATCH($B$70,TABLES!$A$103:$A$112,0),MATCH(O$5,TABLES!$C$102:$H$102,0))+O69*VLOOKUP($B$70,TABLES!$A$103:$B$112,2,FALSE),0)+IF($C$4="Yes",0,(O69*TABLES!B138))</f>
        <v>0</v>
      </c>
      <c r="P70" s="11">
        <f>ROUND(P69*INDEX(TABLES!$C$103:$H$112,MATCH($B$70,TABLES!$A$103:$A$112,0),MATCH(P$5,TABLES!$C$102:$H$102,0))+P69*VLOOKUP($B$70,TABLES!$A$103:$B$112,2,FALSE),0)+IF($C$4="Yes",0,(P69*TABLES!B138))</f>
        <v>0</v>
      </c>
      <c r="Q70" s="15">
        <f>SUM(L70:P70)</f>
        <v>0</v>
      </c>
    </row>
    <row r="71" spans="1:17" ht="12.75" customHeight="1">
      <c r="A71" s="203" t="str">
        <f>IF(SUM(Q71:Q72)&gt;0,"BC21","")</f>
        <v/>
      </c>
      <c r="B71" s="13"/>
      <c r="D71" s="6" t="s">
        <v>19</v>
      </c>
      <c r="E71" s="308">
        <v>0</v>
      </c>
      <c r="F71" s="308">
        <v>0</v>
      </c>
      <c r="G71" s="308">
        <v>0</v>
      </c>
      <c r="H71" s="308">
        <v>0</v>
      </c>
      <c r="I71" s="308">
        <v>0</v>
      </c>
      <c r="J71" s="23"/>
      <c r="K71" s="6" t="s">
        <v>30</v>
      </c>
      <c r="L71" s="11">
        <f>IF($C$69&gt;0.24,ROUND(SUMIFS(TABLES!B$120,$B$69,"*(NRT)*",E70,"&gt;0")/9*E70,0),0)</f>
        <v>0</v>
      </c>
      <c r="M71" s="11">
        <f>IF($C$69&gt;0.24,ROUND(SUMIFS(TABLES!C$120,$B$69,"*(NRT)*",F70,"&gt;0")/9*F70,0),0)</f>
        <v>0</v>
      </c>
      <c r="N71" s="11">
        <f>IF($C$69&gt;0.24,ROUND(SUMIFS(TABLES!D$120,$B$69,"*(NRT)*",G70,"&gt;0")/9*G70,0),0)</f>
        <v>0</v>
      </c>
      <c r="O71" s="11">
        <f>IF($C$69&gt;0.24,ROUND(SUMIFS(TABLES!E$120,$B$69,"*(NRT)*",H70,"&gt;0")/9*H70,0),0)</f>
        <v>0</v>
      </c>
      <c r="P71" s="11">
        <f>IF($C$69&gt;0.24,ROUND(SUMIFS(TABLES!F$120,$B$69,"*(NRT)*",I70,"&gt;0")/9*I70,0),0)</f>
        <v>0</v>
      </c>
      <c r="Q71" s="15">
        <f>SUM(L71:P71)</f>
        <v>0</v>
      </c>
    </row>
    <row r="72" spans="1:17" ht="12.75" customHeight="1">
      <c r="A72" s="202"/>
      <c r="B72" s="146"/>
      <c r="C72" s="20"/>
      <c r="D72" s="20"/>
      <c r="E72" s="20"/>
      <c r="F72" s="21"/>
      <c r="G72" s="21"/>
      <c r="H72" s="21"/>
      <c r="I72" s="21"/>
      <c r="J72" s="21"/>
      <c r="K72" s="35" t="s">
        <v>31</v>
      </c>
      <c r="L72" s="141">
        <f>IF($C$69&gt;0.24,ROUND(SUMIFS(TABLES!B$118,$B$69,"*(NO NRT)*",E70,"&gt;0")/9*E70,0),0)</f>
        <v>0</v>
      </c>
      <c r="M72" s="141">
        <f>IF($C$69&gt;0.24,ROUND(SUMIFS(TABLES!C$118,$B$69,"*(NO NRT)*",F70,"&gt;0")/9*F70,0),0)</f>
        <v>0</v>
      </c>
      <c r="N72" s="141">
        <f>IF($C$69&gt;0.24,ROUND(SUMIFS(TABLES!D$118,$B$69,"*(NO NRT)*",G70,"&gt;0")/9*G70,0),0)</f>
        <v>0</v>
      </c>
      <c r="O72" s="141">
        <f>IF($C$69&gt;0.24,ROUND(SUMIFS(TABLES!E$118,$B$69,"*(NO NRT)*",H70,"&gt;0")/9*H70,0),0)</f>
        <v>0</v>
      </c>
      <c r="P72" s="141">
        <f>IF($C$69&gt;0.24,ROUND(SUMIFS(TABLES!F$118,$B$69,"*(NO NRT)*",I70,"&gt;0")/9*I70,0),0)</f>
        <v>0</v>
      </c>
      <c r="Q72" s="22">
        <f>SUM(L72:P72)</f>
        <v>0</v>
      </c>
    </row>
    <row r="73" spans="1:17" ht="12.75" customHeight="1">
      <c r="A73" s="202"/>
      <c r="B73" s="13"/>
      <c r="F73" s="23"/>
      <c r="G73" s="23"/>
      <c r="H73" s="23"/>
      <c r="I73" s="23"/>
      <c r="J73" s="23"/>
      <c r="K73" s="286" t="s">
        <v>20</v>
      </c>
      <c r="L73" s="287">
        <f>SUM(L69:L72)</f>
        <v>0</v>
      </c>
      <c r="M73" s="287">
        <f t="shared" ref="M73" si="36">SUM(M69:M72)</f>
        <v>0</v>
      </c>
      <c r="N73" s="287">
        <f t="shared" ref="N73" si="37">SUM(N69:N72)</f>
        <v>0</v>
      </c>
      <c r="O73" s="287">
        <f t="shared" ref="O73" si="38">SUM(O69:O72)</f>
        <v>0</v>
      </c>
      <c r="P73" s="287">
        <f t="shared" ref="P73" si="39">SUM(P69:P72)</f>
        <v>0</v>
      </c>
      <c r="Q73" s="313">
        <f t="shared" ref="Q73" si="40">SUM(Q69:Q72)</f>
        <v>0</v>
      </c>
    </row>
    <row r="74" spans="1:17" ht="12.75" customHeight="1">
      <c r="A74" s="202"/>
      <c r="B74" s="13"/>
      <c r="F74" s="23"/>
      <c r="G74" s="23"/>
      <c r="H74" s="23"/>
      <c r="I74" s="23"/>
      <c r="J74" s="23"/>
      <c r="K74" s="291" t="s">
        <v>32</v>
      </c>
      <c r="L74" s="292">
        <f>IF($C$69&gt;0.24,ROUND(SUMIFS(TABLES!B$116,$B$69,"*(NO NRT)*",E70,"&gt;0")/9*E70,0),0)</f>
        <v>0</v>
      </c>
      <c r="M74" s="292">
        <f>IF($C$69&gt;0.24,ROUND(SUMIFS(TABLES!C$116,$B$69,"*(NO NRT)*",F70,"&gt;0")/9*F70,0),0)</f>
        <v>0</v>
      </c>
      <c r="N74" s="292">
        <f>IF($C$69&gt;0.24,ROUND(SUMIFS(TABLES!D$116,$B$69,"*(NO NRT)*",G70,"&gt;0")/9*G70,0),0)</f>
        <v>0</v>
      </c>
      <c r="O74" s="292">
        <f>IF($C$69&gt;0.24,ROUND(SUMIFS(TABLES!E$116,$B$69,"*(NO NRT)*",H70,"&gt;0")/9*H70,0),0)</f>
        <v>0</v>
      </c>
      <c r="P74" s="292">
        <f>IF($C$69&gt;0.24,ROUND(SUMIFS(TABLES!F$116,$B$69,"*(NO NRT)*",I70,"&gt;0")/9*I70,0),0)</f>
        <v>0</v>
      </c>
      <c r="Q74" s="314">
        <f>SUM(L74:P74)</f>
        <v>0</v>
      </c>
    </row>
    <row r="75" spans="1:17" ht="12.75" customHeight="1">
      <c r="A75" s="202"/>
      <c r="B75" s="13"/>
      <c r="F75" s="23"/>
      <c r="G75" s="23"/>
      <c r="H75" s="23"/>
      <c r="I75" s="23"/>
      <c r="J75" s="23"/>
      <c r="K75" s="293" t="s">
        <v>33</v>
      </c>
      <c r="L75" s="294">
        <f>IF($C$69&gt;0.24,ROUND(SUMIFS(TABLES!B$117,$B$69,"*(NO NRT)*",E70,"&gt;0")/9*E70,0),0)</f>
        <v>0</v>
      </c>
      <c r="M75" s="294">
        <f>IF($C$69&gt;0.24,ROUND(SUMIFS(TABLES!C$117,$B$69,"*(NO NRT)*",F70,"&gt;0")/9*F70,0),0)</f>
        <v>0</v>
      </c>
      <c r="N75" s="294">
        <f>IF($C$69&gt;0.24,ROUND(SUMIFS(TABLES!D$117,$B$69,"*(NO NRT)*",G70,"&gt;0")/9*G70,0),0)</f>
        <v>0</v>
      </c>
      <c r="O75" s="294">
        <f>IF($C$69&gt;0.24,ROUND(SUMIFS(TABLES!E$117,$B$69,"*(NO NRT)*",H70,"&gt;0")/9*H70,0),0)</f>
        <v>0</v>
      </c>
      <c r="P75" s="294">
        <f>IF($C$69&gt;0.24,ROUND(SUMIFS(TABLES!F$117,$B$69,"*(NO NRT)*",I70,"&gt;0")/9*I70,0),0)</f>
        <v>0</v>
      </c>
      <c r="Q75" s="315">
        <f>SUM(L75:P75)</f>
        <v>0</v>
      </c>
    </row>
    <row r="76" spans="1:17" ht="12.75" customHeight="1">
      <c r="A76" s="202"/>
      <c r="B76" s="13"/>
      <c r="F76" s="23"/>
      <c r="G76" s="23"/>
      <c r="H76" s="23"/>
      <c r="I76" s="23"/>
      <c r="J76" s="23"/>
      <c r="M76" s="52"/>
      <c r="N76" s="52"/>
      <c r="O76" s="52"/>
      <c r="Q76" s="15"/>
    </row>
    <row r="77" spans="1:17" ht="12.75" customHeight="1">
      <c r="A77" s="202"/>
      <c r="B77" s="28" t="s">
        <v>40</v>
      </c>
      <c r="C77" s="134" t="s">
        <v>28</v>
      </c>
      <c r="D77" s="142"/>
      <c r="E77" s="143" t="s">
        <v>7</v>
      </c>
      <c r="F77" s="143" t="s">
        <v>8</v>
      </c>
      <c r="G77" s="143" t="s">
        <v>9</v>
      </c>
      <c r="H77" s="144" t="s">
        <v>10</v>
      </c>
      <c r="I77" s="144" t="s">
        <v>11</v>
      </c>
      <c r="J77" s="27"/>
      <c r="K77" s="27"/>
      <c r="L77" s="135" t="s">
        <v>7</v>
      </c>
      <c r="M77" s="135" t="s">
        <v>8</v>
      </c>
      <c r="N77" s="135" t="s">
        <v>9</v>
      </c>
      <c r="O77" s="135" t="s">
        <v>10</v>
      </c>
      <c r="P77" s="135" t="s">
        <v>11</v>
      </c>
      <c r="Q77" s="130" t="s">
        <v>12</v>
      </c>
    </row>
    <row r="78" spans="1:17" ht="12.75" customHeight="1">
      <c r="A78" s="203" t="str">
        <f>VLOOKUP(B78,TABLES!$A$12:$I$99,9,FALSE)</f>
        <v>BC28</v>
      </c>
      <c r="B78" s="303" t="s">
        <v>41</v>
      </c>
      <c r="C78" s="307">
        <v>1</v>
      </c>
      <c r="D78" s="5" t="s">
        <v>14</v>
      </c>
      <c r="E78" s="308">
        <v>0</v>
      </c>
      <c r="F78" s="308">
        <v>0</v>
      </c>
      <c r="G78" s="308">
        <v>0</v>
      </c>
      <c r="H78" s="308">
        <v>0</v>
      </c>
      <c r="I78" s="308">
        <v>0</v>
      </c>
      <c r="J78" s="136"/>
      <c r="K78" s="145" t="s">
        <v>15</v>
      </c>
      <c r="L78" s="262">
        <f>ROUND(IFERROR((IF(SUM(E78:E80)&gt;0,INDEX(TABLES!$C$12:$H$99,MATCH($B$78,TABLES!$A$12:$A$99,0),MATCH(L$5,TABLES!$C$11:$H$11,0)),"0")*$C$78),0)/12*SUM(E78:E80),0)</f>
        <v>0</v>
      </c>
      <c r="M78" s="262">
        <f>ROUND(IFERROR((IF(SUM(F78:F80)&gt;0,INDEX(TABLES!$C$12:$H$99,MATCH($B$78,TABLES!$A$12:$A$99,0),MATCH(M$5,TABLES!$C$11:$H$11,0)),"0")*$C$78),0)/12*SUM(F78:F80),0)</f>
        <v>0</v>
      </c>
      <c r="N78" s="262">
        <f>ROUND(IFERROR((IF(SUM(G78:G80)&gt;0,INDEX(TABLES!$C$12:$H$99,MATCH($B$78,TABLES!$A$12:$A$99,0),MATCH(N$5,TABLES!$C$11:$H$11,0)),"0")*$C$78),0)/12*SUM(G78:G80),0)</f>
        <v>0</v>
      </c>
      <c r="O78" s="262">
        <f>ROUND(IFERROR((IF(SUM(H78:H80)&gt;0,INDEX(TABLES!$C$12:$H$99,MATCH($B$78,TABLES!$A$12:$A$99,0),MATCH(O$5,TABLES!$C$11:$H$11,0)),"0")*$C$78),0)/12*SUM(H78:H80),0)</f>
        <v>0</v>
      </c>
      <c r="P78" s="262">
        <f>ROUND(IFERROR((IF(SUM(I78:I80)&gt;0,INDEX(TABLES!$C$12:$H$99,MATCH($B$78,TABLES!$A$12:$A$99,0),MATCH(P$5,TABLES!$C$11:$H$11,0)),"0")*$C$78),0)/12*SUM(I78:I80),0)</f>
        <v>0</v>
      </c>
      <c r="Q78" s="36">
        <f>SUM(L78:P78)</f>
        <v>0</v>
      </c>
    </row>
    <row r="79" spans="1:17" ht="12.75" customHeight="1">
      <c r="A79" s="203" t="str">
        <f>VLOOKUP(B79,TABLES!$A$102:$I$112,9,FALSE)</f>
        <v>BC30</v>
      </c>
      <c r="B79" s="13" t="str">
        <f>VLOOKUP(B78,TABLES!$A$12:$B$99,2,FALSE)</f>
        <v>Staff Non-Exempt</v>
      </c>
      <c r="D79" s="6" t="s">
        <v>16</v>
      </c>
      <c r="E79" s="308">
        <v>0</v>
      </c>
      <c r="F79" s="308">
        <v>0</v>
      </c>
      <c r="G79" s="308">
        <v>0</v>
      </c>
      <c r="H79" s="308">
        <v>0</v>
      </c>
      <c r="I79" s="308">
        <v>0</v>
      </c>
      <c r="J79" s="23"/>
      <c r="K79" s="6" t="s">
        <v>17</v>
      </c>
      <c r="L79" s="11">
        <f>ROUND(L78*INDEX(TABLES!$C$103:$H$112,MATCH($B$79,TABLES!$A$103:$A$112,0),MATCH(L$5,TABLES!$C$102:$H$102,0))+L78*VLOOKUP($B$79,TABLES!$A$103:$B$112,2,FALSE),0)+IF($C$4="Yes",0,(L78*TABLES!B138))</f>
        <v>0</v>
      </c>
      <c r="M79" s="11">
        <f>ROUND(M78*INDEX(TABLES!$C$103:$H$112,MATCH($B$79,TABLES!$A$103:$A$112,0),MATCH(M$5,TABLES!$C$102:$H$102,0))+M78*VLOOKUP($B$79,TABLES!$A$103:$B$112,2,FALSE),0)+IF($C$4="Yes",0,(M78*TABLES!B138))</f>
        <v>0</v>
      </c>
      <c r="N79" s="11">
        <f>ROUND(N78*INDEX(TABLES!$C$103:$H$112,MATCH($B$79,TABLES!$A$103:$A$112,0),MATCH(N$5,TABLES!$C$102:$H$102,0))+N78*VLOOKUP($B$79,TABLES!$A$103:$B$112,2,FALSE),0)+IF($C$4="Yes",0,(N78*TABLES!B138))</f>
        <v>0</v>
      </c>
      <c r="O79" s="11">
        <f>ROUND(O78*INDEX(TABLES!$C$103:$H$112,MATCH($B$79,TABLES!$A$103:$A$112,0),MATCH(O$5,TABLES!$C$102:$H$102,0))+O78*VLOOKUP($B$79,TABLES!$A$103:$B$112,2,FALSE),0)+IF($C$4="Yes",0,(O78*TABLES!B138))</f>
        <v>0</v>
      </c>
      <c r="P79" s="11">
        <f>ROUND(P78*INDEX(TABLES!$C$103:$H$112,MATCH($B$79,TABLES!$A$103:$A$112,0),MATCH(P$5,TABLES!$C$102:$H$102,0))+P78*VLOOKUP($B$79,TABLES!$A$103:$B$112,2,FALSE),0)+IF($C$4="Yes",0,(P78*TABLES!B138))</f>
        <v>0</v>
      </c>
      <c r="Q79" s="15">
        <f>SUM(L79:P79)</f>
        <v>0</v>
      </c>
    </row>
    <row r="80" spans="1:17" ht="12.75" customHeight="1">
      <c r="A80" s="203" t="str">
        <f>IF(SUM(Q80:Q81)&gt;0,"BC21","")</f>
        <v/>
      </c>
      <c r="B80" s="13"/>
      <c r="D80" s="6" t="s">
        <v>19</v>
      </c>
      <c r="E80" s="308">
        <v>0</v>
      </c>
      <c r="F80" s="308">
        <v>0</v>
      </c>
      <c r="G80" s="308">
        <v>0</v>
      </c>
      <c r="H80" s="308">
        <v>0</v>
      </c>
      <c r="I80" s="308">
        <v>0</v>
      </c>
      <c r="J80" s="23"/>
      <c r="K80" s="6" t="s">
        <v>30</v>
      </c>
      <c r="L80" s="11">
        <f>IF($C$78&gt;0.24,ROUND(SUMIFS(TABLES!B$120,$B$78,"*(NRT)*",E79,"&gt;0")/9*E79,0),0)</f>
        <v>0</v>
      </c>
      <c r="M80" s="11">
        <f>IF($C$78&gt;0.24,ROUND(SUMIFS(TABLES!C$120,$B$78,"*(NRT)*",F79,"&gt;0")/9*F79,0),0)</f>
        <v>0</v>
      </c>
      <c r="N80" s="11">
        <f>IF($C$78&gt;0.24,ROUND(SUMIFS(TABLES!D$120,$B$78,"*(NRT)*",G79,"&gt;0")/9*G79,0),0)</f>
        <v>0</v>
      </c>
      <c r="O80" s="11">
        <f>IF($C$78&gt;0.24,ROUND(SUMIFS(TABLES!E$120,$B$78,"*(NRT)*",H79,"&gt;0")/9*H79,0),0)</f>
        <v>0</v>
      </c>
      <c r="P80" s="11">
        <f>IF($C$78&gt;0.24,ROUND(SUMIFS(TABLES!F$120,$B$78,"*(NRT)*",I79,"&gt;0")/9*I79,0),0)</f>
        <v>0</v>
      </c>
      <c r="Q80" s="15">
        <f>SUM(L80:P80)</f>
        <v>0</v>
      </c>
    </row>
    <row r="81" spans="1:17" ht="12.75" customHeight="1">
      <c r="A81" s="202"/>
      <c r="B81" s="146"/>
      <c r="C81" s="20"/>
      <c r="D81" s="20"/>
      <c r="E81" s="20"/>
      <c r="F81" s="21"/>
      <c r="G81" s="21"/>
      <c r="H81" s="21"/>
      <c r="I81" s="21"/>
      <c r="J81" s="21"/>
      <c r="K81" s="35" t="s">
        <v>31</v>
      </c>
      <c r="L81" s="141">
        <f>IF($C$78&gt;0.24,ROUND(SUMIFS(TABLES!B$118,$B$78,"*(NO NRT)*",E79,"&gt;0")/9*E79,0),0)</f>
        <v>0</v>
      </c>
      <c r="M81" s="141">
        <f>IF($C$78&gt;0.24,ROUND(SUMIFS(TABLES!C$118,$B$78,"*(NO NRT)*",F79,"&gt;0")/9*F79,0),0)</f>
        <v>0</v>
      </c>
      <c r="N81" s="141">
        <f>IF($C$78&gt;0.24,ROUND(SUMIFS(TABLES!D$118,$B$78,"*(NO NRT)*",G79,"&gt;0")/9*G79,0),0)</f>
        <v>0</v>
      </c>
      <c r="O81" s="141">
        <f>IF($C$78&gt;0.24,ROUND(SUMIFS(TABLES!E$118,$B$78,"*(NO NRT)*",H79,"&gt;0")/9*H79,0),0)</f>
        <v>0</v>
      </c>
      <c r="P81" s="141">
        <f>IF($C$78&gt;0.24,ROUND(SUMIFS(TABLES!F$118,$B$78,"*(NO NRT)*",I79,"&gt;0")/9*I79,0),0)</f>
        <v>0</v>
      </c>
      <c r="Q81" s="22">
        <f>SUM(L81:P81)</f>
        <v>0</v>
      </c>
    </row>
    <row r="82" spans="1:17" ht="12.75" customHeight="1">
      <c r="B82" s="13"/>
      <c r="F82" s="23"/>
      <c r="G82" s="23"/>
      <c r="H82" s="23"/>
      <c r="I82" s="23"/>
      <c r="J82" s="23"/>
      <c r="K82" s="286" t="s">
        <v>20</v>
      </c>
      <c r="L82" s="287">
        <f>SUM(L78:L81)</f>
        <v>0</v>
      </c>
      <c r="M82" s="287">
        <f t="shared" ref="M82" si="41">SUM(M78:M81)</f>
        <v>0</v>
      </c>
      <c r="N82" s="287">
        <f t="shared" ref="N82" si="42">SUM(N78:N81)</f>
        <v>0</v>
      </c>
      <c r="O82" s="287">
        <f t="shared" ref="O82" si="43">SUM(O78:O81)</f>
        <v>0</v>
      </c>
      <c r="P82" s="287">
        <f t="shared" ref="P82" si="44">SUM(P78:P81)</f>
        <v>0</v>
      </c>
      <c r="Q82" s="313">
        <f t="shared" ref="Q82" si="45">SUM(Q78:Q81)</f>
        <v>0</v>
      </c>
    </row>
    <row r="83" spans="1:17" ht="12.75" customHeight="1">
      <c r="B83" s="13"/>
      <c r="F83" s="23"/>
      <c r="G83" s="23"/>
      <c r="H83" s="23"/>
      <c r="I83" s="23"/>
      <c r="J83" s="23"/>
      <c r="K83" s="291" t="s">
        <v>32</v>
      </c>
      <c r="L83" s="292">
        <f>IF($C$78&gt;0.24,ROUND(SUMIFS(TABLES!B$116,$B$78,"*(NO NRT)*",E79,"&gt;0")/9*E79,0),0)</f>
        <v>0</v>
      </c>
      <c r="M83" s="292">
        <f>IF($C$78&gt;0.24,ROUND(SUMIFS(TABLES!C$116,$B$78,"*(NO NRT)*",F79,"&gt;0")/9*F79,0),0)</f>
        <v>0</v>
      </c>
      <c r="N83" s="292">
        <f>IF($C$78&gt;0.24,ROUND(SUMIFS(TABLES!D$116,$B$78,"*(NO NRT)*",G79,"&gt;0")/9*G79,0),0)</f>
        <v>0</v>
      </c>
      <c r="O83" s="292">
        <f>IF($C$78&gt;0.24,ROUND(SUMIFS(TABLES!E$116,$B$78,"*(NO NRT)*",H79,"&gt;0")/9*H79,0),0)</f>
        <v>0</v>
      </c>
      <c r="P83" s="292">
        <f>IF($C$78&gt;0.24,ROUND(SUMIFS(TABLES!F$116,$B$78,"*(NO NRT)*",I79,"&gt;0")/9*I79,0),0)</f>
        <v>0</v>
      </c>
      <c r="Q83" s="314">
        <f>SUM(L83:P83)</f>
        <v>0</v>
      </c>
    </row>
    <row r="84" spans="1:17" ht="12.75" customHeight="1">
      <c r="B84" s="13"/>
      <c r="F84" s="23"/>
      <c r="G84" s="23"/>
      <c r="H84" s="23"/>
      <c r="I84" s="23"/>
      <c r="J84" s="23"/>
      <c r="K84" s="293" t="s">
        <v>33</v>
      </c>
      <c r="L84" s="294">
        <f>IF($C$78&gt;0.24,ROUND(SUMIFS(TABLES!B$117,$B$78,"*(NO NRT)*",E79,"&gt;0")/9*E79,0),0)</f>
        <v>0</v>
      </c>
      <c r="M84" s="294">
        <f>IF($C$78&gt;0.24,ROUND(SUMIFS(TABLES!C$117,$B$78,"*(NO NRT)*",F79,"&gt;0")/9*F79,0),0)</f>
        <v>0</v>
      </c>
      <c r="N84" s="294">
        <f>IF($C$78&gt;0.24,ROUND(SUMIFS(TABLES!D$117,$B$78,"*(NO NRT)*",G79,"&gt;0")/9*G79,0),0)</f>
        <v>0</v>
      </c>
      <c r="O84" s="294">
        <f>IF($C$78&gt;0.24,ROUND(SUMIFS(TABLES!E$117,$B$78,"*(NO NRT)*",H79,"&gt;0")/9*H79,0),0)</f>
        <v>0</v>
      </c>
      <c r="P84" s="294">
        <f>IF($C$78&gt;0.24,ROUND(SUMIFS(TABLES!F$117,$B$78,"*(NO NRT)*",I79,"&gt;0")/9*I79,0),0)</f>
        <v>0</v>
      </c>
      <c r="Q84" s="315">
        <f>SUM(L84:P84)</f>
        <v>0</v>
      </c>
    </row>
    <row r="85" spans="1:17" ht="12.75" customHeight="1">
      <c r="B85" s="13"/>
      <c r="F85" s="23"/>
      <c r="G85" s="23"/>
      <c r="H85" s="23"/>
      <c r="I85" s="23"/>
      <c r="J85" s="23"/>
      <c r="M85" s="52"/>
      <c r="N85" s="52"/>
      <c r="O85" s="52"/>
      <c r="Q85" s="15"/>
    </row>
    <row r="86" spans="1:17" ht="12.75" customHeight="1">
      <c r="A86" s="202"/>
      <c r="B86" s="28" t="s">
        <v>42</v>
      </c>
      <c r="C86" s="134" t="s">
        <v>28</v>
      </c>
      <c r="D86" s="142"/>
      <c r="E86" s="143" t="s">
        <v>7</v>
      </c>
      <c r="F86" s="143" t="s">
        <v>8</v>
      </c>
      <c r="G86" s="143" t="s">
        <v>9</v>
      </c>
      <c r="H86" s="144" t="s">
        <v>10</v>
      </c>
      <c r="I86" s="144" t="s">
        <v>11</v>
      </c>
      <c r="J86" s="27"/>
      <c r="K86" s="27"/>
      <c r="L86" s="135" t="s">
        <v>7</v>
      </c>
      <c r="M86" s="135" t="s">
        <v>8</v>
      </c>
      <c r="N86" s="135" t="s">
        <v>9</v>
      </c>
      <c r="O86" s="135" t="s">
        <v>10</v>
      </c>
      <c r="P86" s="135" t="s">
        <v>11</v>
      </c>
      <c r="Q86" s="130" t="s">
        <v>12</v>
      </c>
    </row>
    <row r="87" spans="1:17" ht="12.75" customHeight="1">
      <c r="A87" s="203" t="str">
        <f>VLOOKUP(B87,TABLES!$A$12:$I$99,9,FALSE)</f>
        <v>BC14</v>
      </c>
      <c r="B87" s="303" t="s">
        <v>43</v>
      </c>
      <c r="C87" s="307">
        <v>1</v>
      </c>
      <c r="D87" s="5" t="s">
        <v>14</v>
      </c>
      <c r="E87" s="308">
        <v>0</v>
      </c>
      <c r="F87" s="308">
        <v>0</v>
      </c>
      <c r="G87" s="308">
        <v>0</v>
      </c>
      <c r="H87" s="308">
        <v>0</v>
      </c>
      <c r="I87" s="308">
        <v>0</v>
      </c>
      <c r="J87" s="136"/>
      <c r="K87" s="145" t="s">
        <v>15</v>
      </c>
      <c r="L87" s="262">
        <f>ROUND(IFERROR((IF(SUM(E87:E89)&gt;0,INDEX(TABLES!$C$12:$H$99,MATCH($B$87,TABLES!$A$12:$A$99,0),MATCH(L$5,TABLES!$C$11:$H$11,0)),"0")*$C$87),0)/12*SUM(E87:E89),0)</f>
        <v>0</v>
      </c>
      <c r="M87" s="262">
        <f>ROUND(IFERROR((IF(SUM(F87:F89)&gt;0,INDEX(TABLES!$C$12:$H$99,MATCH($B$87,TABLES!$A$12:$A$99,0),MATCH(M$5,TABLES!$C$11:$H$11,0)),"0")*$C$87),0)/12*SUM(F87:F89),0)</f>
        <v>0</v>
      </c>
      <c r="N87" s="262">
        <f>ROUND(IFERROR((IF(SUM(G87:G89)&gt;0,INDEX(TABLES!$C$12:$H$99,MATCH($B$87,TABLES!$A$12:$A$99,0),MATCH(N$5,TABLES!$C$11:$H$11,0)),"0")*$C$87),0)/12*SUM(G87:G89),0)</f>
        <v>0</v>
      </c>
      <c r="O87" s="262">
        <f>ROUND(IFERROR((IF(SUM(H87:H89)&gt;0,INDEX(TABLES!$C$12:$H$99,MATCH($B$87,TABLES!$A$12:$A$99,0),MATCH(O$5,TABLES!$C$11:$H$11,0)),"0")*$C$87),0)/12*SUM(H87:H89),0)</f>
        <v>0</v>
      </c>
      <c r="P87" s="262">
        <f>ROUND(IFERROR((IF(SUM(I87:I89)&gt;0,INDEX(TABLES!$C$12:$H$99,MATCH($B$87,TABLES!$A$12:$A$99,0),MATCH(P$5,TABLES!$C$11:$H$11,0)),"0")*$C$87),0)/12*SUM(I87:I89),0)</f>
        <v>0</v>
      </c>
      <c r="Q87" s="36">
        <f>SUM(L87:P87)</f>
        <v>0</v>
      </c>
    </row>
    <row r="88" spans="1:17" ht="12.75" customHeight="1">
      <c r="A88" s="203" t="str">
        <f>VLOOKUP(B88,TABLES!$A$102:$I$112,9,FALSE)</f>
        <v>BC20</v>
      </c>
      <c r="B88" s="13" t="str">
        <f>VLOOKUP(B87,TABLES!$A$12:$B$99,2,FALSE)</f>
        <v>Post-Doctoral Researcher</v>
      </c>
      <c r="D88" s="6" t="s">
        <v>16</v>
      </c>
      <c r="E88" s="308">
        <v>0</v>
      </c>
      <c r="F88" s="308">
        <v>0</v>
      </c>
      <c r="G88" s="308">
        <v>0</v>
      </c>
      <c r="H88" s="308">
        <v>0</v>
      </c>
      <c r="I88" s="308">
        <v>0</v>
      </c>
      <c r="J88" s="23"/>
      <c r="K88" s="6" t="s">
        <v>17</v>
      </c>
      <c r="L88" s="11">
        <f>ROUND(L87*INDEX(TABLES!$C$103:$H$112,MATCH($B$88,TABLES!$A$103:$A$112,0),MATCH(L$5,TABLES!$C$102:$H$102,0))+L87*VLOOKUP($B$88,TABLES!$A$103:$B$112,2,FALSE),0)+IF($C$4="Yes",0,(L87*TABLES!B145))</f>
        <v>0</v>
      </c>
      <c r="M88" s="11">
        <f>ROUND(M87*INDEX(TABLES!$C$103:$H$112,MATCH($B$88,TABLES!$A$103:$A$112,0),MATCH(M$5,TABLES!$C$102:$H$102,0))+M87*VLOOKUP($B$88,TABLES!$A$103:$B$112,2,FALSE),0)+IF($C$4="Yes",0,(M87*TABLES!C145))</f>
        <v>0</v>
      </c>
      <c r="N88" s="11">
        <f>ROUND(N87*INDEX(TABLES!$C$103:$H$112,MATCH($B$88,TABLES!$A$103:$A$112,0),MATCH(N$5,TABLES!$C$102:$H$102,0))+N87*VLOOKUP($B$88,TABLES!$A$103:$B$112,2,FALSE),0)+IF($C$4="Yes",0,(N87*TABLES!D145))</f>
        <v>0</v>
      </c>
      <c r="O88" s="11">
        <f>ROUND(O87*INDEX(TABLES!$C$103:$H$112,MATCH($B$88,TABLES!$A$103:$A$112,0),MATCH(O$5,TABLES!$C$102:$H$102,0))+O87*VLOOKUP($B$88,TABLES!$A$103:$B$112,2,FALSE),0)+IF($C$4="Yes",0,(O87*TABLES!E145))</f>
        <v>0</v>
      </c>
      <c r="P88" s="11">
        <f>ROUND(P87*INDEX(TABLES!$C$103:$H$112,MATCH($B$88,TABLES!$A$103:$A$112,0),MATCH(P$5,TABLES!$C$102:$H$102,0))+P87*VLOOKUP($B$88,TABLES!$A$103:$B$112,2,FALSE),0)+IF($C$4="Yes",0,(P87*TABLES!F145))</f>
        <v>0</v>
      </c>
      <c r="Q88" s="15">
        <f>SUM(L88:P88)</f>
        <v>0</v>
      </c>
    </row>
    <row r="89" spans="1:17" ht="12.75" customHeight="1">
      <c r="A89" s="203" t="str">
        <f>IF(SUM(Q89:Q90)&gt;0,"BC21","")</f>
        <v/>
      </c>
      <c r="B89" s="13"/>
      <c r="D89" s="6" t="s">
        <v>19</v>
      </c>
      <c r="E89" s="308">
        <v>0</v>
      </c>
      <c r="F89" s="308">
        <v>0</v>
      </c>
      <c r="G89" s="308">
        <v>0</v>
      </c>
      <c r="H89" s="308">
        <v>0</v>
      </c>
      <c r="I89" s="308">
        <v>0</v>
      </c>
      <c r="J89" s="23"/>
      <c r="K89" s="6" t="s">
        <v>30</v>
      </c>
      <c r="L89" s="11">
        <f>IF($C$87&gt;0.24,ROUND(SUMIFS(TABLES!B$120,$B$87,"*(NRT)*",E88,"&gt;0")/9*E88,0),0)</f>
        <v>0</v>
      </c>
      <c r="M89" s="11">
        <f>IF($C$87&gt;0.24,ROUND(SUMIFS(TABLES!C$120,$B$87,"*(NRT)*",F88,"&gt;0")/9*F88,0),0)</f>
        <v>0</v>
      </c>
      <c r="N89" s="11">
        <f>IF($C$87&gt;0.24,ROUND(SUMIFS(TABLES!D$120,$B$87,"*(NRT)*",G88,"&gt;0")/9*G88,0),0)</f>
        <v>0</v>
      </c>
      <c r="O89" s="11">
        <f>IF($C$87&gt;0.24,ROUND(SUMIFS(TABLES!E$120,$B$87,"*(NRT)*",H88,"&gt;0")/9*H88,0),0)</f>
        <v>0</v>
      </c>
      <c r="P89" s="11">
        <f>IF($C$87&gt;0.24,ROUND(SUMIFS(TABLES!F$120,$B$87,"*(NRT)*",I88,"&gt;0")/9*I88,0),0)</f>
        <v>0</v>
      </c>
      <c r="Q89" s="15">
        <f>SUM(L89:P89)</f>
        <v>0</v>
      </c>
    </row>
    <row r="90" spans="1:17" ht="12.75" customHeight="1">
      <c r="A90" s="202"/>
      <c r="B90" s="146"/>
      <c r="C90" s="20"/>
      <c r="D90" s="20"/>
      <c r="E90" s="20"/>
      <c r="F90" s="21"/>
      <c r="G90" s="21"/>
      <c r="H90" s="21"/>
      <c r="I90" s="21"/>
      <c r="J90" s="21"/>
      <c r="K90" s="35" t="s">
        <v>31</v>
      </c>
      <c r="L90" s="141">
        <f>IF($C$87&gt;0.24,ROUND(SUMIFS(TABLES!B$118,$B$87,"*(NO NRT)*",E88,"&gt;0")/9*E88,0),0)</f>
        <v>0</v>
      </c>
      <c r="M90" s="141">
        <f>IF($C$87&gt;0.24,ROUND(SUMIFS(TABLES!C$118,$B$87,"*(NO NRT)*",F88,"&gt;0")/9*F88,0),0)</f>
        <v>0</v>
      </c>
      <c r="N90" s="141">
        <f>IF($C$87&gt;0.24,ROUND(SUMIFS(TABLES!D$118,$B$87,"*(NO NRT)*",G88,"&gt;0")/9*G88,0),0)</f>
        <v>0</v>
      </c>
      <c r="O90" s="141">
        <f>IF($C$87&gt;0.24,ROUND(SUMIFS(TABLES!E$118,$B$87,"*(NO NRT)*",H88,"&gt;0")/9*H88,0),0)</f>
        <v>0</v>
      </c>
      <c r="P90" s="141">
        <f>IF($C$87&gt;0.24,ROUND(SUMIFS(TABLES!F$118,$B$87,"*(NO NRT)*",I88,"&gt;0")/9*I88,0),0)</f>
        <v>0</v>
      </c>
      <c r="Q90" s="22">
        <f>SUM(L90:P90)</f>
        <v>0</v>
      </c>
    </row>
    <row r="91" spans="1:17" ht="12.75" customHeight="1">
      <c r="B91" s="13"/>
      <c r="F91" s="23"/>
      <c r="G91" s="23"/>
      <c r="H91" s="23"/>
      <c r="I91" s="23"/>
      <c r="J91" s="23"/>
      <c r="K91" s="286" t="s">
        <v>20</v>
      </c>
      <c r="L91" s="287">
        <f>SUM(L87:L90)</f>
        <v>0</v>
      </c>
      <c r="M91" s="287">
        <f t="shared" ref="M91" si="46">SUM(M87:M90)</f>
        <v>0</v>
      </c>
      <c r="N91" s="287">
        <f t="shared" ref="N91" si="47">SUM(N87:N90)</f>
        <v>0</v>
      </c>
      <c r="O91" s="287">
        <f t="shared" ref="O91" si="48">SUM(O87:O90)</f>
        <v>0</v>
      </c>
      <c r="P91" s="287">
        <f t="shared" ref="P91" si="49">SUM(P87:P90)</f>
        <v>0</v>
      </c>
      <c r="Q91" s="313">
        <f t="shared" ref="Q91" si="50">SUM(Q87:Q90)</f>
        <v>0</v>
      </c>
    </row>
    <row r="92" spans="1:17" ht="12.75" customHeight="1">
      <c r="B92" s="13"/>
      <c r="F92" s="23"/>
      <c r="G92" s="23"/>
      <c r="H92" s="23"/>
      <c r="I92" s="23"/>
      <c r="J92" s="23"/>
      <c r="K92" s="291" t="s">
        <v>32</v>
      </c>
      <c r="L92" s="292">
        <f>IF($C$87&gt;0.24,ROUND(SUMIFS(TABLES!B$116,$B$87,"*(NO NRT)*",E88,"&gt;0")/9*E88,0),0)</f>
        <v>0</v>
      </c>
      <c r="M92" s="292">
        <f>IF($C$87&gt;0.24,ROUND(SUMIFS(TABLES!C$116,$B$87,"*(NO NRT)*",F88,"&gt;0")/9*F88,0),0)</f>
        <v>0</v>
      </c>
      <c r="N92" s="292">
        <f>IF($C$87&gt;0.24,ROUND(SUMIFS(TABLES!D$116,$B$87,"*(NO NRT)*",G88,"&gt;0")/9*G88,0),0)</f>
        <v>0</v>
      </c>
      <c r="O92" s="292">
        <f>IF($C$87&gt;0.24,ROUND(SUMIFS(TABLES!E$116,$B$87,"*(NO NRT)*",H88,"&gt;0")/9*H88,0),0)</f>
        <v>0</v>
      </c>
      <c r="P92" s="292">
        <f>IF($C$87&gt;0.24,ROUND(SUMIFS(TABLES!F$116,$B$87,"*(NO NRT)*",I88,"&gt;0")/9*I88,0),0)</f>
        <v>0</v>
      </c>
      <c r="Q92" s="314">
        <f>SUM(L92:P92)</f>
        <v>0</v>
      </c>
    </row>
    <row r="93" spans="1:17" ht="12.75" customHeight="1">
      <c r="B93" s="13"/>
      <c r="F93" s="23"/>
      <c r="G93" s="23"/>
      <c r="H93" s="23"/>
      <c r="I93" s="23"/>
      <c r="J93" s="23"/>
      <c r="K93" s="293" t="s">
        <v>33</v>
      </c>
      <c r="L93" s="294">
        <f>IF($C$87&gt;0.24,ROUND(SUMIFS(TABLES!B$117,$B$87,"*(NO NRT)*",E88,"&gt;0")/9*E88,0),0)</f>
        <v>0</v>
      </c>
      <c r="M93" s="294">
        <f>IF($C$87&gt;0.24,ROUND(SUMIFS(TABLES!C$117,$B$87,"*(NO NRT)*",F88,"&gt;0")/9*F88,0),0)</f>
        <v>0</v>
      </c>
      <c r="N93" s="294">
        <f>IF($C$87&gt;0.24,ROUND(SUMIFS(TABLES!D$117,$B$87,"*(NO NRT)*",G88,"&gt;0")/9*G88,0),0)</f>
        <v>0</v>
      </c>
      <c r="O93" s="294">
        <f>IF($C$87&gt;0.24,ROUND(SUMIFS(TABLES!E$117,$B$87,"*(NO NRT)*",H88,"&gt;0")/9*H88,0),0)</f>
        <v>0</v>
      </c>
      <c r="P93" s="294">
        <f>IF($C$87&gt;0.24,ROUND(SUMIFS(TABLES!F$117,$B$87,"*(NO NRT)*",I88,"&gt;0")/9*I88,0),0)</f>
        <v>0</v>
      </c>
      <c r="Q93" s="315">
        <f>SUM(L93:P93)</f>
        <v>0</v>
      </c>
    </row>
    <row r="94" spans="1:17" ht="12.75" customHeight="1">
      <c r="B94" s="13"/>
      <c r="F94" s="23"/>
      <c r="G94" s="23"/>
      <c r="H94" s="23"/>
      <c r="I94" s="23"/>
      <c r="J94" s="23"/>
      <c r="M94" s="52"/>
      <c r="N94" s="52"/>
      <c r="O94" s="52"/>
      <c r="Q94" s="15"/>
    </row>
    <row r="95" spans="1:17" ht="12.75" customHeight="1">
      <c r="B95" s="13"/>
      <c r="F95" s="23"/>
      <c r="G95" s="23"/>
      <c r="H95" s="23"/>
      <c r="I95" s="23"/>
      <c r="J95" s="23"/>
      <c r="M95" s="52"/>
      <c r="N95" s="52"/>
      <c r="O95" s="52"/>
      <c r="Q95" s="15"/>
    </row>
    <row r="96" spans="1:17" ht="12.75" customHeight="1">
      <c r="B96" s="13"/>
      <c r="F96" s="23"/>
      <c r="G96" s="23"/>
      <c r="H96" s="23"/>
      <c r="I96" s="23"/>
      <c r="J96" s="23"/>
      <c r="M96" s="52"/>
      <c r="N96" s="52"/>
      <c r="O96" s="52"/>
      <c r="Q96" s="15"/>
    </row>
    <row r="97" spans="1:25" ht="12.75" customHeight="1">
      <c r="B97" s="13"/>
      <c r="F97" s="23"/>
      <c r="G97" s="23"/>
      <c r="H97" s="23"/>
      <c r="I97" s="23"/>
      <c r="J97" s="23"/>
      <c r="M97" s="52"/>
      <c r="N97" s="52"/>
      <c r="O97" s="52"/>
      <c r="Q97" s="15"/>
    </row>
    <row r="98" spans="1:25" ht="12.75" customHeight="1">
      <c r="B98" s="13"/>
      <c r="F98" s="23"/>
      <c r="G98" s="23"/>
      <c r="H98" s="23"/>
      <c r="I98" s="23"/>
      <c r="J98" s="23"/>
      <c r="M98" s="52"/>
      <c r="N98" s="52"/>
      <c r="O98" s="52"/>
      <c r="Q98" s="15"/>
    </row>
    <row r="99" spans="1:25" ht="12.75" customHeight="1">
      <c r="B99" s="13"/>
      <c r="F99" s="23"/>
      <c r="G99" s="23"/>
      <c r="H99" s="23"/>
      <c r="I99" s="23"/>
      <c r="J99" s="23"/>
      <c r="M99" s="52"/>
      <c r="N99" s="52"/>
      <c r="O99" s="52"/>
      <c r="Q99" s="15"/>
    </row>
    <row r="100" spans="1:25" ht="12.75" customHeight="1">
      <c r="B100" s="13"/>
      <c r="F100" s="23"/>
      <c r="G100" s="23"/>
      <c r="H100" s="23"/>
      <c r="I100" s="23"/>
      <c r="J100" s="23"/>
      <c r="M100" s="52"/>
      <c r="N100" s="52"/>
      <c r="O100" s="52"/>
      <c r="Q100" s="15"/>
    </row>
    <row r="101" spans="1:25" ht="12.75" customHeight="1">
      <c r="B101" s="13"/>
      <c r="F101" s="23"/>
      <c r="G101" s="23"/>
      <c r="H101" s="23"/>
      <c r="I101" s="23"/>
      <c r="J101" s="23"/>
      <c r="M101" s="52"/>
      <c r="N101" s="52"/>
      <c r="O101" s="52"/>
      <c r="Q101" s="15"/>
    </row>
    <row r="102" spans="1:25" ht="12.75" customHeight="1">
      <c r="B102" s="13"/>
      <c r="F102" s="23"/>
      <c r="G102" s="23"/>
      <c r="H102" s="23"/>
      <c r="I102" s="23"/>
      <c r="J102" s="23"/>
      <c r="M102" s="52"/>
      <c r="N102" s="52"/>
      <c r="O102" s="52"/>
      <c r="Q102" s="15"/>
    </row>
    <row r="103" spans="1:25" ht="12.75" customHeight="1">
      <c r="B103" s="13"/>
      <c r="F103" s="23"/>
      <c r="G103" s="23"/>
      <c r="H103" s="23"/>
      <c r="I103" s="23"/>
      <c r="J103" s="23"/>
      <c r="M103" s="52"/>
      <c r="N103" s="52"/>
      <c r="O103" s="52"/>
      <c r="Q103" s="15"/>
    </row>
    <row r="104" spans="1:25" ht="23.25" customHeight="1"/>
    <row r="105" spans="1:25" ht="23.25" customHeight="1">
      <c r="B105" s="114"/>
      <c r="C105" s="114"/>
      <c r="D105" s="114"/>
      <c r="E105" s="26"/>
      <c r="I105" s="14"/>
      <c r="J105" s="14"/>
      <c r="K105" s="14"/>
      <c r="L105" s="14"/>
      <c r="M105" s="263"/>
      <c r="N105" s="263"/>
      <c r="O105" s="263"/>
      <c r="P105" s="263"/>
    </row>
    <row r="106" spans="1:25" ht="23.25" customHeight="1">
      <c r="B106" s="115"/>
      <c r="C106" s="115"/>
      <c r="D106" s="115"/>
      <c r="E106" s="118"/>
      <c r="F106" s="16"/>
      <c r="I106" s="119"/>
      <c r="J106" s="14"/>
      <c r="K106" s="14"/>
      <c r="L106" s="14"/>
      <c r="N106" s="263"/>
      <c r="O106" s="263"/>
      <c r="P106" s="263"/>
    </row>
    <row r="107" spans="1:25" ht="23.25" customHeight="1">
      <c r="B107" s="114"/>
      <c r="C107" s="114"/>
      <c r="D107" s="114"/>
      <c r="E107" s="26"/>
      <c r="I107" s="120"/>
      <c r="J107" s="14"/>
      <c r="K107" s="14"/>
      <c r="L107" s="14"/>
      <c r="M107" s="263"/>
      <c r="N107" s="263"/>
      <c r="O107" s="263"/>
      <c r="P107" s="263"/>
    </row>
    <row r="108" spans="1:25" ht="23.25" customHeight="1">
      <c r="B108" s="116"/>
      <c r="C108" s="116"/>
      <c r="D108" s="116"/>
      <c r="E108" s="16"/>
      <c r="F108" s="16"/>
      <c r="I108" s="119"/>
      <c r="N108" s="121"/>
    </row>
    <row r="109" spans="1:25" ht="23.25" customHeight="1">
      <c r="B109" s="114"/>
      <c r="C109" s="114"/>
      <c r="D109" s="114"/>
      <c r="E109" s="26"/>
      <c r="I109" s="120"/>
      <c r="J109" s="14"/>
      <c r="K109" s="14"/>
      <c r="L109" s="14"/>
      <c r="M109" s="263"/>
      <c r="N109" s="263"/>
      <c r="O109" s="263"/>
      <c r="P109" s="263"/>
    </row>
    <row r="110" spans="1:25" ht="23.25" customHeight="1">
      <c r="B110" s="116"/>
      <c r="C110" s="116"/>
      <c r="D110" s="116"/>
      <c r="E110" s="16"/>
      <c r="F110" s="16"/>
      <c r="I110" s="119"/>
      <c r="K110" s="252"/>
      <c r="N110" s="121"/>
    </row>
    <row r="111" spans="1:25" ht="23.25" customHeight="1">
      <c r="I111" s="117"/>
    </row>
    <row r="112" spans="1:25" s="7" customFormat="1" ht="23.25" customHeight="1">
      <c r="A112" s="1"/>
      <c r="B112" s="116"/>
      <c r="C112" s="116"/>
      <c r="D112" s="116"/>
      <c r="E112" s="16"/>
      <c r="F112" s="16"/>
      <c r="G112" s="10"/>
      <c r="H112" s="10"/>
      <c r="I112" s="119"/>
      <c r="J112" s="10"/>
      <c r="K112" s="10"/>
      <c r="L112" s="10"/>
      <c r="M112" s="6"/>
      <c r="N112" s="6"/>
      <c r="O112" s="6"/>
      <c r="P112" s="6"/>
      <c r="Q112" s="6"/>
      <c r="R112" s="16"/>
      <c r="S112" s="318"/>
      <c r="T112" s="318"/>
      <c r="U112" s="319"/>
      <c r="V112" s="1"/>
      <c r="W112" s="1"/>
      <c r="X112" s="1"/>
      <c r="Y112" s="1"/>
    </row>
    <row r="113" spans="1:25" s="7" customFormat="1" ht="23.25" customHeight="1">
      <c r="A113" s="1"/>
      <c r="B113" s="10"/>
      <c r="C113" s="10"/>
      <c r="D113" s="10"/>
      <c r="E113" s="10"/>
      <c r="F113" s="10"/>
      <c r="G113" s="10"/>
      <c r="H113" s="10"/>
      <c r="I113" s="117"/>
      <c r="J113" s="10"/>
      <c r="K113" s="10"/>
      <c r="L113" s="10"/>
      <c r="M113" s="6"/>
      <c r="N113" s="6"/>
      <c r="O113" s="6"/>
      <c r="P113" s="6"/>
      <c r="Q113" s="6"/>
      <c r="R113" s="16"/>
      <c r="S113" s="318"/>
      <c r="T113" s="318"/>
      <c r="U113" s="319"/>
      <c r="V113" s="1"/>
      <c r="W113" s="1"/>
      <c r="X113" s="1"/>
      <c r="Y113" s="1"/>
    </row>
    <row r="114" spans="1:25" s="7" customFormat="1" ht="23.25" customHeight="1">
      <c r="A114" s="1"/>
      <c r="B114" s="116"/>
      <c r="C114" s="116"/>
      <c r="D114" s="116"/>
      <c r="E114" s="16"/>
      <c r="F114" s="16"/>
      <c r="G114" s="10"/>
      <c r="H114" s="10"/>
      <c r="I114" s="119"/>
      <c r="J114" s="10"/>
      <c r="K114" s="10"/>
      <c r="L114" s="10"/>
      <c r="M114" s="6"/>
      <c r="N114" s="6"/>
      <c r="O114" s="6"/>
      <c r="P114" s="6"/>
      <c r="Q114" s="6"/>
      <c r="R114" s="16"/>
      <c r="S114" s="318"/>
      <c r="T114" s="318"/>
      <c r="U114" s="319"/>
      <c r="V114" s="1"/>
      <c r="W114" s="1"/>
      <c r="X114" s="1"/>
      <c r="Y114" s="1"/>
    </row>
    <row r="115" spans="1:25" s="7" customFormat="1" ht="23.25" customHeight="1">
      <c r="A115" s="1"/>
      <c r="B115" s="10"/>
      <c r="C115" s="10"/>
      <c r="D115" s="10"/>
      <c r="E115" s="10"/>
      <c r="F115" s="10"/>
      <c r="G115" s="10"/>
      <c r="H115" s="10"/>
      <c r="I115" s="117"/>
      <c r="J115" s="10"/>
      <c r="K115" s="10"/>
      <c r="L115" s="10"/>
      <c r="M115" s="6"/>
      <c r="N115" s="6"/>
      <c r="O115" s="6"/>
      <c r="P115" s="6"/>
      <c r="Q115" s="6"/>
      <c r="R115" s="16"/>
      <c r="S115" s="318"/>
      <c r="T115" s="318"/>
      <c r="U115" s="319"/>
      <c r="V115" s="1"/>
      <c r="W115" s="1"/>
      <c r="X115" s="1"/>
      <c r="Y115" s="1"/>
    </row>
    <row r="116" spans="1:25" s="7" customFormat="1" ht="23.25" customHeight="1">
      <c r="A116" s="1"/>
      <c r="B116" s="116"/>
      <c r="C116" s="116"/>
      <c r="D116" s="116"/>
      <c r="E116" s="16"/>
      <c r="F116" s="116"/>
      <c r="G116" s="10"/>
      <c r="H116" s="10"/>
      <c r="I116" s="119"/>
      <c r="J116" s="10"/>
      <c r="K116" s="10"/>
      <c r="L116" s="10"/>
      <c r="M116" s="6"/>
      <c r="N116" s="6"/>
      <c r="O116" s="6"/>
      <c r="P116" s="6"/>
      <c r="Q116" s="6"/>
      <c r="R116" s="16"/>
      <c r="S116" s="318"/>
      <c r="T116" s="318"/>
      <c r="U116" s="319"/>
      <c r="V116" s="1"/>
      <c r="W116" s="1"/>
      <c r="X116" s="1"/>
      <c r="Y116" s="1"/>
    </row>
    <row r="117" spans="1:25" s="7" customFormat="1" ht="23.25" customHeight="1">
      <c r="A117" s="1"/>
      <c r="B117" s="10"/>
      <c r="C117" s="10"/>
      <c r="D117" s="10"/>
      <c r="E117" s="10"/>
      <c r="F117" s="10"/>
      <c r="G117" s="10"/>
      <c r="H117" s="10"/>
      <c r="I117" s="117"/>
      <c r="J117" s="10"/>
      <c r="K117" s="10"/>
      <c r="L117" s="10"/>
      <c r="M117" s="6"/>
      <c r="N117" s="6"/>
      <c r="O117" s="6"/>
      <c r="P117" s="6"/>
      <c r="Q117" s="6"/>
      <c r="R117" s="16"/>
      <c r="S117" s="318"/>
      <c r="T117" s="318"/>
      <c r="U117" s="319"/>
      <c r="V117" s="1"/>
      <c r="W117" s="1"/>
      <c r="X117" s="1"/>
      <c r="Y117" s="1"/>
    </row>
    <row r="118" spans="1:25" s="7" customFormat="1" ht="23.25" customHeight="1">
      <c r="A118" s="1"/>
      <c r="B118" s="116"/>
      <c r="C118" s="116"/>
      <c r="D118" s="116"/>
      <c r="E118" s="16"/>
      <c r="F118" s="16"/>
      <c r="G118" s="10"/>
      <c r="H118" s="10"/>
      <c r="I118" s="119"/>
      <c r="J118" s="10"/>
      <c r="K118" s="39"/>
      <c r="L118" s="39"/>
      <c r="M118" s="6"/>
      <c r="N118" s="6"/>
      <c r="O118" s="6"/>
      <c r="P118" s="6"/>
      <c r="Q118" s="6"/>
      <c r="R118" s="16"/>
      <c r="S118" s="318"/>
      <c r="T118" s="318"/>
      <c r="U118" s="319"/>
      <c r="V118" s="1"/>
      <c r="W118" s="1"/>
      <c r="X118" s="1"/>
      <c r="Y118" s="1"/>
    </row>
    <row r="119" spans="1:25" s="7" customFormat="1" ht="23.25" customHeight="1">
      <c r="A119" s="1"/>
      <c r="B119" s="10"/>
      <c r="C119" s="10"/>
      <c r="D119" s="10"/>
      <c r="E119" s="10"/>
      <c r="F119" s="10"/>
      <c r="G119" s="10"/>
      <c r="H119" s="10"/>
      <c r="I119" s="117"/>
      <c r="J119" s="10"/>
      <c r="K119" s="10"/>
      <c r="L119" s="10"/>
      <c r="M119" s="6"/>
      <c r="N119" s="6"/>
      <c r="O119" s="6"/>
      <c r="P119" s="6"/>
      <c r="Q119" s="6"/>
      <c r="R119" s="16"/>
      <c r="S119" s="318"/>
      <c r="T119" s="318"/>
      <c r="U119" s="319"/>
      <c r="V119" s="1"/>
      <c r="W119" s="1"/>
      <c r="X119" s="1"/>
      <c r="Y119" s="1"/>
    </row>
    <row r="120" spans="1:25" s="7" customFormat="1" ht="23.25" customHeight="1">
      <c r="A120" s="1"/>
      <c r="B120" s="14"/>
      <c r="C120" s="116"/>
      <c r="D120" s="116"/>
      <c r="E120" s="16"/>
      <c r="F120" s="16"/>
      <c r="G120" s="10"/>
      <c r="H120" s="10"/>
      <c r="I120" s="119"/>
      <c r="J120" s="10"/>
      <c r="K120" s="10"/>
      <c r="L120" s="10"/>
      <c r="M120" s="6"/>
      <c r="N120" s="6"/>
      <c r="O120" s="6"/>
      <c r="P120" s="6"/>
      <c r="Q120" s="6"/>
      <c r="R120" s="16"/>
      <c r="S120" s="318"/>
      <c r="T120" s="318"/>
      <c r="U120" s="319"/>
      <c r="V120" s="1"/>
      <c r="W120" s="1"/>
      <c r="X120" s="1"/>
      <c r="Y120" s="1"/>
    </row>
    <row r="121" spans="1:25" s="7" customFormat="1" ht="23.25" customHeight="1">
      <c r="A121" s="1"/>
      <c r="B121" s="10"/>
      <c r="C121" s="10"/>
      <c r="D121" s="10"/>
      <c r="E121" s="10"/>
      <c r="F121" s="10"/>
      <c r="G121" s="10"/>
      <c r="H121" s="10"/>
      <c r="I121" s="117"/>
      <c r="J121" s="10"/>
      <c r="K121" s="10"/>
      <c r="L121" s="10"/>
      <c r="M121" s="6"/>
      <c r="N121" s="6"/>
      <c r="O121" s="6"/>
      <c r="P121" s="6"/>
      <c r="Q121" s="6"/>
      <c r="R121" s="16"/>
      <c r="S121" s="318"/>
      <c r="T121" s="318"/>
      <c r="U121" s="319"/>
      <c r="V121" s="1"/>
      <c r="W121" s="1"/>
      <c r="X121" s="1"/>
      <c r="Y121" s="1"/>
    </row>
    <row r="122" spans="1:25" s="7" customFormat="1" ht="23.25" customHeight="1">
      <c r="A122" s="1"/>
      <c r="B122" s="116"/>
      <c r="C122" s="116"/>
      <c r="D122" s="116"/>
      <c r="E122" s="16"/>
      <c r="F122" s="16"/>
      <c r="G122" s="10"/>
      <c r="H122" s="10"/>
      <c r="I122" s="119"/>
      <c r="J122" s="10"/>
      <c r="K122" s="10"/>
      <c r="L122" s="10"/>
      <c r="M122" s="6"/>
      <c r="N122" s="6"/>
      <c r="O122" s="6"/>
      <c r="P122" s="6"/>
      <c r="Q122" s="6"/>
      <c r="R122" s="16"/>
      <c r="S122" s="318"/>
      <c r="T122" s="318"/>
      <c r="U122" s="319"/>
      <c r="V122" s="1"/>
      <c r="W122" s="1"/>
      <c r="X122" s="1"/>
      <c r="Y122" s="1"/>
    </row>
    <row r="123" spans="1:25" s="7" customFormat="1" ht="23.25" customHeight="1">
      <c r="A123" s="1"/>
      <c r="B123" s="10"/>
      <c r="C123" s="10"/>
      <c r="D123" s="10"/>
      <c r="E123" s="10"/>
      <c r="F123" s="10"/>
      <c r="G123" s="10"/>
      <c r="H123" s="10"/>
      <c r="I123" s="117"/>
      <c r="J123" s="10"/>
      <c r="K123" s="10"/>
      <c r="L123" s="10"/>
      <c r="M123" s="6"/>
      <c r="N123" s="6"/>
      <c r="O123" s="6"/>
      <c r="P123" s="6"/>
      <c r="Q123" s="6"/>
      <c r="R123" s="16"/>
      <c r="S123" s="318"/>
      <c r="T123" s="318"/>
      <c r="U123" s="319"/>
      <c r="V123" s="1"/>
      <c r="W123" s="1"/>
      <c r="X123" s="1"/>
      <c r="Y123" s="1"/>
    </row>
    <row r="124" spans="1:25" s="7" customFormat="1" ht="23.25" customHeight="1">
      <c r="A124" s="1"/>
      <c r="B124" s="116"/>
      <c r="C124" s="116"/>
      <c r="D124" s="116"/>
      <c r="E124" s="16"/>
      <c r="F124" s="16"/>
      <c r="G124" s="10"/>
      <c r="H124" s="10"/>
      <c r="I124" s="119"/>
      <c r="J124" s="10"/>
      <c r="K124" s="10"/>
      <c r="L124" s="10"/>
      <c r="M124" s="6"/>
      <c r="N124" s="6"/>
      <c r="O124" s="6"/>
      <c r="P124" s="6"/>
      <c r="Q124" s="6"/>
      <c r="R124" s="16"/>
      <c r="S124" s="318"/>
      <c r="T124" s="318"/>
      <c r="U124" s="319"/>
      <c r="V124" s="1"/>
      <c r="W124" s="1"/>
      <c r="X124" s="1"/>
      <c r="Y124" s="1"/>
    </row>
    <row r="125" spans="1:25" s="7" customFormat="1" ht="23.25" customHeight="1">
      <c r="A125" s="1"/>
      <c r="B125" s="10"/>
      <c r="C125" s="10"/>
      <c r="D125" s="10"/>
      <c r="E125" s="10"/>
      <c r="F125" s="10"/>
      <c r="G125" s="10"/>
      <c r="H125" s="10"/>
      <c r="I125" s="117"/>
      <c r="J125" s="10"/>
      <c r="K125" s="10"/>
      <c r="L125" s="10"/>
      <c r="M125" s="6"/>
      <c r="N125" s="6"/>
      <c r="O125" s="6"/>
      <c r="P125" s="6"/>
      <c r="Q125" s="6"/>
      <c r="R125" s="16"/>
      <c r="S125" s="318"/>
      <c r="T125" s="318"/>
      <c r="U125" s="319"/>
      <c r="V125" s="1"/>
      <c r="W125" s="1"/>
      <c r="X125" s="1"/>
      <c r="Y125" s="1"/>
    </row>
    <row r="126" spans="1:25" s="7" customFormat="1" ht="23.25" customHeight="1">
      <c r="A126" s="1"/>
      <c r="B126" s="116"/>
      <c r="C126" s="116"/>
      <c r="D126" s="116"/>
      <c r="E126" s="16"/>
      <c r="F126" s="16"/>
      <c r="G126" s="10"/>
      <c r="H126" s="10"/>
      <c r="I126" s="119"/>
      <c r="J126" s="10"/>
      <c r="K126" s="10"/>
      <c r="L126" s="10"/>
      <c r="M126" s="6"/>
      <c r="N126" s="6"/>
      <c r="O126" s="6"/>
      <c r="P126" s="263"/>
      <c r="Q126" s="6"/>
      <c r="R126" s="16"/>
      <c r="S126" s="318"/>
      <c r="T126" s="318"/>
      <c r="U126" s="319"/>
      <c r="V126" s="1"/>
      <c r="W126" s="1"/>
      <c r="X126" s="1"/>
      <c r="Y126" s="1"/>
    </row>
    <row r="127" spans="1:25" s="7" customFormat="1" ht="23.25" customHeight="1">
      <c r="A127" s="1"/>
      <c r="B127" s="10"/>
      <c r="C127" s="10"/>
      <c r="D127" s="10"/>
      <c r="E127" s="10"/>
      <c r="F127" s="10"/>
      <c r="G127" s="10"/>
      <c r="H127" s="10"/>
      <c r="I127" s="117"/>
      <c r="J127" s="10"/>
      <c r="K127" s="10"/>
      <c r="L127" s="10"/>
      <c r="M127" s="6"/>
      <c r="N127" s="6"/>
      <c r="O127" s="6"/>
      <c r="P127" s="6"/>
      <c r="Q127" s="6"/>
      <c r="R127" s="16"/>
      <c r="S127" s="318"/>
      <c r="T127" s="318"/>
      <c r="U127" s="319"/>
      <c r="V127" s="1"/>
      <c r="W127" s="1"/>
      <c r="X127" s="1"/>
      <c r="Y127" s="1"/>
    </row>
    <row r="128" spans="1:25" s="7" customFormat="1" ht="23.25" customHeight="1">
      <c r="A128" s="1"/>
      <c r="B128" s="116"/>
      <c r="C128" s="116"/>
      <c r="D128" s="116"/>
      <c r="E128" s="16"/>
      <c r="F128" s="16"/>
      <c r="G128" s="10"/>
      <c r="H128" s="10"/>
      <c r="I128" s="119"/>
      <c r="J128" s="10"/>
      <c r="K128" s="10"/>
      <c r="L128" s="10"/>
      <c r="M128" s="6"/>
      <c r="N128" s="6"/>
      <c r="O128" s="6"/>
      <c r="P128" s="263"/>
      <c r="Q128" s="6"/>
      <c r="R128" s="16"/>
      <c r="S128" s="318"/>
      <c r="T128" s="318"/>
      <c r="U128" s="319"/>
      <c r="V128" s="1"/>
      <c r="W128" s="1"/>
      <c r="X128" s="1"/>
      <c r="Y128" s="1"/>
    </row>
    <row r="129" spans="1:25" s="7" customFormat="1" ht="23.25" customHeight="1">
      <c r="A129" s="1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6"/>
      <c r="N129" s="6"/>
      <c r="O129" s="6"/>
      <c r="P129" s="6"/>
      <c r="Q129" s="6"/>
      <c r="R129" s="16"/>
      <c r="S129" s="318"/>
      <c r="T129" s="318"/>
      <c r="U129" s="319"/>
      <c r="V129" s="1"/>
      <c r="W129" s="1"/>
      <c r="X129" s="1"/>
      <c r="Y129" s="1"/>
    </row>
    <row r="130" spans="1:25" s="7" customFormat="1" ht="23.25" customHeight="1">
      <c r="A130" s="1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6"/>
      <c r="N130" s="6"/>
      <c r="O130" s="6"/>
      <c r="P130" s="6"/>
      <c r="Q130" s="6"/>
      <c r="R130" s="16"/>
      <c r="S130" s="318"/>
      <c r="T130" s="318"/>
      <c r="U130" s="319"/>
      <c r="V130" s="1"/>
      <c r="W130" s="1"/>
      <c r="X130" s="1"/>
      <c r="Y130" s="1"/>
    </row>
    <row r="131" spans="1:25" s="7" customFormat="1" ht="23.25" customHeight="1">
      <c r="A131" s="1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6"/>
      <c r="N131" s="6"/>
      <c r="O131" s="6"/>
      <c r="P131" s="6"/>
      <c r="Q131" s="6"/>
      <c r="R131" s="16"/>
      <c r="S131" s="318"/>
      <c r="T131" s="318"/>
      <c r="U131" s="319"/>
      <c r="V131" s="1"/>
      <c r="W131" s="1"/>
      <c r="X131" s="1"/>
      <c r="Y131" s="1"/>
    </row>
    <row r="132" spans="1:25" s="7" customFormat="1" ht="23.25" customHeight="1">
      <c r="A132" s="25"/>
      <c r="B132" s="37"/>
      <c r="C132" s="37"/>
      <c r="D132" s="37"/>
      <c r="E132" s="122"/>
      <c r="F132" s="123"/>
      <c r="G132" s="123"/>
      <c r="H132" s="38"/>
      <c r="I132" s="38"/>
      <c r="J132" s="124"/>
      <c r="K132" s="38"/>
      <c r="L132" s="38"/>
      <c r="M132" s="38"/>
      <c r="N132" s="38"/>
      <c r="O132" s="38"/>
      <c r="P132" s="263"/>
      <c r="Q132" s="6"/>
      <c r="R132" s="16"/>
      <c r="S132" s="318"/>
      <c r="T132" s="318"/>
      <c r="U132" s="319"/>
      <c r="V132" s="1"/>
      <c r="W132" s="1"/>
      <c r="X132" s="1"/>
      <c r="Y132" s="1"/>
    </row>
    <row r="133" spans="1:25" s="7" customFormat="1" ht="23.25" customHeight="1">
      <c r="A133" s="1"/>
      <c r="B133" s="37"/>
      <c r="C133" s="37"/>
      <c r="D133" s="37"/>
      <c r="E133" s="122"/>
      <c r="F133" s="123"/>
      <c r="G133" s="123"/>
      <c r="H133" s="38"/>
      <c r="I133" s="38"/>
      <c r="J133" s="124"/>
      <c r="K133" s="38"/>
      <c r="L133" s="38"/>
      <c r="M133" s="38"/>
      <c r="N133" s="38"/>
      <c r="O133" s="38"/>
      <c r="P133" s="263"/>
      <c r="Q133" s="6"/>
      <c r="R133" s="16"/>
      <c r="S133" s="318"/>
      <c r="T133" s="318"/>
      <c r="U133" s="319"/>
      <c r="V133" s="1"/>
      <c r="W133" s="1"/>
      <c r="X133" s="1"/>
      <c r="Y133" s="1"/>
    </row>
    <row r="134" spans="1:25" s="7" customFormat="1" ht="23.25" customHeight="1">
      <c r="A134" s="1"/>
      <c r="B134" s="14"/>
      <c r="C134" s="14"/>
      <c r="D134" s="14"/>
      <c r="E134" s="10"/>
      <c r="F134" s="10"/>
      <c r="G134" s="10"/>
      <c r="H134" s="10"/>
      <c r="I134" s="10"/>
      <c r="J134" s="10"/>
      <c r="K134" s="10"/>
      <c r="L134" s="10"/>
      <c r="M134" s="6"/>
      <c r="N134" s="6"/>
      <c r="O134" s="6"/>
      <c r="P134" s="6"/>
      <c r="Q134" s="6"/>
      <c r="R134" s="16"/>
      <c r="S134" s="318"/>
      <c r="T134" s="318"/>
      <c r="U134" s="319"/>
      <c r="V134" s="1"/>
      <c r="W134" s="1"/>
      <c r="X134" s="1"/>
      <c r="Y134" s="1"/>
    </row>
    <row r="135" spans="1:25" s="7" customFormat="1" ht="23.25" customHeight="1">
      <c r="A135" s="1"/>
      <c r="B135" s="114"/>
      <c r="C135" s="114"/>
      <c r="D135" s="114"/>
      <c r="E135" s="26"/>
      <c r="F135" s="10"/>
      <c r="G135" s="10"/>
      <c r="H135" s="1"/>
      <c r="I135" s="10"/>
      <c r="J135" s="10"/>
      <c r="K135" s="10"/>
      <c r="L135" s="10"/>
      <c r="M135" s="6"/>
      <c r="N135" s="6"/>
      <c r="O135" s="6"/>
      <c r="P135" s="6"/>
      <c r="Q135" s="6"/>
      <c r="R135" s="16"/>
      <c r="S135" s="318"/>
      <c r="T135" s="318"/>
      <c r="U135" s="319"/>
      <c r="V135" s="1"/>
      <c r="W135" s="1"/>
      <c r="X135" s="1"/>
      <c r="Y135" s="1"/>
    </row>
    <row r="136" spans="1:25" s="7" customFormat="1" ht="23.25" customHeight="1">
      <c r="A136" s="1"/>
      <c r="B136" s="26"/>
      <c r="C136" s="26"/>
      <c r="D136" s="26"/>
      <c r="E136" s="26"/>
      <c r="F136" s="10"/>
      <c r="G136" s="10"/>
      <c r="H136" s="10"/>
      <c r="I136" s="10"/>
      <c r="J136" s="10"/>
      <c r="K136" s="10"/>
      <c r="L136" s="10"/>
      <c r="M136" s="6"/>
      <c r="N136" s="6"/>
      <c r="O136" s="6"/>
      <c r="P136" s="6"/>
      <c r="Q136" s="6"/>
      <c r="R136" s="16"/>
      <c r="S136" s="318"/>
      <c r="T136" s="318"/>
      <c r="U136" s="319"/>
      <c r="V136" s="1"/>
      <c r="W136" s="1"/>
      <c r="X136" s="1"/>
      <c r="Y136" s="1"/>
    </row>
    <row r="137" spans="1:25" s="7" customFormat="1" ht="23.25" customHeight="1">
      <c r="A137" s="1"/>
      <c r="B137" s="26"/>
      <c r="C137" s="26"/>
      <c r="D137" s="26"/>
      <c r="E137" s="26"/>
      <c r="F137" s="10"/>
      <c r="G137" s="10"/>
      <c r="H137" s="10"/>
      <c r="I137" s="10"/>
      <c r="J137" s="10"/>
      <c r="K137" s="10"/>
      <c r="L137" s="10"/>
      <c r="M137" s="6"/>
      <c r="N137" s="6"/>
      <c r="O137" s="6"/>
      <c r="P137" s="6"/>
      <c r="Q137" s="6"/>
      <c r="R137" s="16"/>
      <c r="S137" s="318"/>
      <c r="T137" s="318"/>
      <c r="U137" s="319"/>
      <c r="V137" s="1"/>
      <c r="W137" s="1"/>
      <c r="X137" s="1"/>
      <c r="Y137" s="1"/>
    </row>
    <row r="138" spans="1:25" s="7" customFormat="1" ht="23.25" customHeight="1">
      <c r="A138" s="1"/>
      <c r="B138" s="26"/>
      <c r="C138" s="26"/>
      <c r="D138" s="26"/>
      <c r="E138" s="26"/>
      <c r="F138" s="10"/>
      <c r="G138" s="10"/>
      <c r="H138" s="10"/>
      <c r="I138" s="10"/>
      <c r="J138" s="10"/>
      <c r="K138" s="10"/>
      <c r="L138" s="10"/>
      <c r="M138" s="6"/>
      <c r="N138" s="6"/>
      <c r="O138" s="6"/>
      <c r="P138" s="6"/>
      <c r="Q138" s="6"/>
      <c r="R138" s="16"/>
      <c r="S138" s="318"/>
      <c r="T138" s="318"/>
      <c r="U138" s="319"/>
      <c r="V138" s="1"/>
      <c r="W138" s="1"/>
      <c r="X138" s="1"/>
      <c r="Y138" s="1"/>
    </row>
    <row r="139" spans="1:25" s="7" customFormat="1" ht="23.25" customHeight="1">
      <c r="A139" s="1"/>
      <c r="B139" s="26"/>
      <c r="C139" s="26"/>
      <c r="D139" s="26"/>
      <c r="E139" s="26"/>
      <c r="F139" s="10"/>
      <c r="G139" s="10"/>
      <c r="H139" s="10"/>
      <c r="I139" s="10"/>
      <c r="J139" s="10"/>
      <c r="K139" s="10"/>
      <c r="L139" s="10"/>
      <c r="M139" s="6"/>
      <c r="N139" s="6"/>
      <c r="O139" s="6"/>
      <c r="P139" s="6"/>
      <c r="Q139" s="6"/>
      <c r="R139" s="16"/>
      <c r="S139" s="318"/>
      <c r="T139" s="318"/>
      <c r="U139" s="319"/>
      <c r="V139" s="1"/>
      <c r="W139" s="1"/>
      <c r="X139" s="1"/>
      <c r="Y139" s="1"/>
    </row>
    <row r="140" spans="1:25" s="7" customFormat="1" ht="23.25" customHeight="1">
      <c r="A140" s="1"/>
      <c r="B140" s="14"/>
      <c r="C140" s="14"/>
      <c r="D140" s="14"/>
      <c r="E140" s="10"/>
      <c r="F140" s="10"/>
      <c r="G140" s="10"/>
      <c r="H140" s="10"/>
      <c r="I140" s="10"/>
      <c r="J140" s="10"/>
      <c r="K140" s="10"/>
      <c r="L140" s="10"/>
      <c r="M140" s="6"/>
      <c r="N140" s="6"/>
      <c r="O140" s="6"/>
      <c r="P140" s="6"/>
      <c r="Q140" s="6"/>
      <c r="R140" s="16"/>
      <c r="S140" s="318"/>
      <c r="T140" s="318"/>
      <c r="U140" s="319"/>
      <c r="V140" s="1"/>
      <c r="W140" s="1"/>
      <c r="X140" s="1"/>
      <c r="Y140" s="1"/>
    </row>
    <row r="141" spans="1:25" s="7" customFormat="1" ht="23.25" customHeight="1">
      <c r="A141" s="1"/>
      <c r="B141" s="26"/>
      <c r="C141" s="26"/>
      <c r="D141" s="26"/>
      <c r="E141" s="26"/>
      <c r="F141" s="10"/>
      <c r="G141" s="10"/>
      <c r="H141" s="10"/>
      <c r="I141" s="10"/>
      <c r="J141" s="10"/>
      <c r="K141" s="10"/>
      <c r="L141" s="10"/>
      <c r="M141" s="6"/>
      <c r="N141" s="6"/>
      <c r="O141" s="6"/>
      <c r="P141" s="6"/>
      <c r="Q141" s="6"/>
      <c r="R141" s="323"/>
      <c r="S141" s="318"/>
      <c r="T141" s="318"/>
      <c r="U141" s="319"/>
      <c r="V141" s="1"/>
      <c r="W141" s="1"/>
      <c r="X141" s="1"/>
      <c r="Y141" s="1"/>
    </row>
    <row r="142" spans="1:25" s="7" customFormat="1" ht="23.25" customHeight="1">
      <c r="A142" s="1"/>
      <c r="B142" s="114"/>
      <c r="C142" s="26"/>
      <c r="D142" s="26"/>
      <c r="E142" s="26"/>
      <c r="F142" s="10"/>
      <c r="G142" s="10"/>
      <c r="H142" s="10"/>
      <c r="I142" s="10"/>
      <c r="J142" s="10"/>
      <c r="K142" s="10"/>
      <c r="L142" s="10"/>
      <c r="M142" s="6"/>
      <c r="N142" s="6"/>
      <c r="O142" s="6"/>
      <c r="P142" s="6"/>
      <c r="Q142" s="6"/>
      <c r="R142" s="16"/>
      <c r="S142" s="318"/>
      <c r="T142" s="318"/>
      <c r="U142" s="319"/>
      <c r="V142" s="1"/>
      <c r="W142" s="1"/>
      <c r="X142" s="1"/>
      <c r="Y142" s="1"/>
    </row>
    <row r="143" spans="1:25" s="7" customFormat="1" ht="23.25" customHeight="1">
      <c r="A143" s="1"/>
      <c r="B143" s="26"/>
      <c r="C143" s="26"/>
      <c r="D143" s="26"/>
      <c r="E143" s="26"/>
      <c r="F143" s="10"/>
      <c r="G143" s="10"/>
      <c r="H143" s="10"/>
      <c r="I143" s="10"/>
      <c r="J143" s="10"/>
      <c r="K143" s="10"/>
      <c r="L143" s="10"/>
      <c r="M143" s="10"/>
      <c r="N143" s="6"/>
      <c r="O143" s="6"/>
      <c r="P143" s="6"/>
      <c r="Q143" s="6"/>
      <c r="R143" s="323"/>
      <c r="S143" s="318"/>
      <c r="T143" s="318"/>
      <c r="U143" s="319"/>
      <c r="V143" s="1"/>
      <c r="W143" s="1"/>
      <c r="X143" s="1"/>
      <c r="Y143" s="1"/>
    </row>
    <row r="144" spans="1:25" s="7" customFormat="1" ht="23.25" customHeight="1">
      <c r="A144" s="1"/>
      <c r="B144" s="26"/>
      <c r="C144" s="26"/>
      <c r="D144" s="26"/>
      <c r="E144" s="26"/>
      <c r="F144" s="10"/>
      <c r="G144" s="10"/>
      <c r="H144" s="10"/>
      <c r="I144" s="10"/>
      <c r="J144" s="10"/>
      <c r="K144" s="10"/>
      <c r="L144" s="10"/>
      <c r="M144" s="6"/>
      <c r="N144" s="6"/>
      <c r="O144" s="6"/>
      <c r="P144" s="6"/>
      <c r="Q144" s="6"/>
      <c r="R144" s="16"/>
      <c r="S144" s="318"/>
      <c r="T144" s="318"/>
      <c r="U144" s="319"/>
      <c r="V144" s="1"/>
      <c r="W144" s="1"/>
      <c r="X144" s="1"/>
      <c r="Y144" s="1"/>
    </row>
    <row r="145" spans="1:25" s="7" customFormat="1" ht="23.25" customHeight="1">
      <c r="A145" s="1"/>
      <c r="B145" s="14"/>
      <c r="C145" s="14"/>
      <c r="D145" s="14"/>
      <c r="E145" s="10"/>
      <c r="F145" s="125"/>
      <c r="G145" s="10"/>
      <c r="H145" s="10"/>
      <c r="I145" s="10"/>
      <c r="J145" s="10"/>
      <c r="K145" s="10"/>
      <c r="L145" s="10"/>
      <c r="M145" s="10"/>
      <c r="N145" s="6"/>
      <c r="O145" s="6"/>
      <c r="P145" s="6"/>
      <c r="Q145" s="6"/>
      <c r="R145" s="319"/>
      <c r="S145" s="318"/>
      <c r="T145" s="318"/>
      <c r="U145" s="319"/>
      <c r="V145" s="1"/>
      <c r="W145" s="1"/>
      <c r="X145" s="1"/>
      <c r="Y145" s="1"/>
    </row>
    <row r="146" spans="1:25" s="7" customFormat="1" ht="23.25" customHeight="1">
      <c r="A146" s="1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6"/>
      <c r="N146" s="6"/>
      <c r="O146" s="6"/>
      <c r="P146" s="6"/>
      <c r="Q146" s="6"/>
      <c r="R146" s="16"/>
      <c r="S146" s="318"/>
      <c r="T146" s="318"/>
      <c r="U146" s="319"/>
      <c r="V146" s="1"/>
      <c r="W146" s="1"/>
      <c r="X146" s="1"/>
      <c r="Y146" s="1"/>
    </row>
    <row r="147" spans="1:25" s="7" customFormat="1" ht="23.25" customHeight="1">
      <c r="A147" s="1"/>
      <c r="B147" s="14"/>
      <c r="C147" s="14"/>
      <c r="D147" s="14"/>
      <c r="E147" s="10"/>
      <c r="F147" s="10"/>
      <c r="G147" s="10"/>
      <c r="H147" s="10"/>
      <c r="I147" s="10"/>
      <c r="J147" s="10"/>
      <c r="K147" s="10"/>
      <c r="L147" s="10"/>
      <c r="M147" s="6"/>
      <c r="N147" s="6"/>
      <c r="O147" s="6"/>
      <c r="P147" s="6"/>
      <c r="Q147" s="6"/>
      <c r="R147" s="16"/>
      <c r="S147" s="318"/>
      <c r="T147" s="318"/>
      <c r="U147" s="319"/>
      <c r="V147" s="1"/>
      <c r="W147" s="1"/>
      <c r="X147" s="1"/>
      <c r="Y147" s="1"/>
    </row>
    <row r="148" spans="1:25" s="7" customFormat="1" ht="23.25" customHeight="1">
      <c r="A148" s="1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6"/>
      <c r="N148" s="6"/>
      <c r="O148" s="6"/>
      <c r="P148" s="6"/>
      <c r="Q148" s="6"/>
      <c r="R148" s="16"/>
      <c r="S148" s="318"/>
      <c r="T148" s="318"/>
      <c r="U148" s="319"/>
      <c r="V148" s="1"/>
      <c r="W148" s="1"/>
      <c r="X148" s="1"/>
      <c r="Y148" s="1"/>
    </row>
    <row r="149" spans="1:25" s="7" customFormat="1" ht="23.25" customHeight="1">
      <c r="A149" s="1"/>
      <c r="B149" s="14"/>
      <c r="C149" s="14"/>
      <c r="D149" s="14"/>
      <c r="E149" s="10"/>
      <c r="F149" s="10"/>
      <c r="G149" s="10"/>
      <c r="H149" s="10"/>
      <c r="I149" s="10"/>
      <c r="J149" s="10"/>
      <c r="K149" s="10"/>
      <c r="L149" s="10"/>
      <c r="M149" s="6"/>
      <c r="N149" s="6"/>
      <c r="O149" s="6"/>
      <c r="P149" s="6"/>
      <c r="Q149" s="6"/>
      <c r="R149" s="16"/>
      <c r="S149" s="318"/>
      <c r="T149" s="318"/>
      <c r="U149" s="319"/>
      <c r="V149" s="1"/>
      <c r="W149" s="1"/>
      <c r="X149" s="1"/>
      <c r="Y149" s="1"/>
    </row>
    <row r="150" spans="1:25" s="7" customFormat="1" ht="23.25" customHeight="1">
      <c r="A150" s="1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6"/>
      <c r="N150" s="6"/>
      <c r="O150" s="6"/>
      <c r="P150" s="6"/>
      <c r="Q150" s="6"/>
      <c r="R150" s="16"/>
      <c r="S150" s="318"/>
      <c r="T150" s="318"/>
      <c r="U150" s="319"/>
      <c r="V150" s="1"/>
      <c r="W150" s="1"/>
      <c r="X150" s="1"/>
      <c r="Y150" s="1"/>
    </row>
    <row r="151" spans="1:25" s="7" customFormat="1" ht="23.25" customHeight="1">
      <c r="A151" s="1"/>
      <c r="B151" s="14"/>
      <c r="C151" s="14"/>
      <c r="D151" s="14"/>
      <c r="E151" s="10"/>
      <c r="F151" s="10"/>
      <c r="G151" s="10"/>
      <c r="H151" s="10"/>
      <c r="I151" s="10"/>
      <c r="J151" s="10"/>
      <c r="K151" s="10"/>
      <c r="L151" s="10"/>
      <c r="M151" s="6"/>
      <c r="N151" s="6"/>
      <c r="O151" s="6"/>
      <c r="P151" s="6"/>
      <c r="Q151" s="6"/>
      <c r="R151" s="16"/>
      <c r="S151" s="318"/>
      <c r="T151" s="318"/>
      <c r="U151" s="319"/>
      <c r="V151" s="1"/>
      <c r="W151" s="1"/>
      <c r="X151" s="1"/>
      <c r="Y151" s="1"/>
    </row>
    <row r="152" spans="1:25" s="7" customFormat="1" ht="23.25" customHeight="1">
      <c r="A152" s="1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6"/>
      <c r="N152" s="6"/>
      <c r="O152" s="6"/>
      <c r="P152" s="6"/>
      <c r="Q152" s="6"/>
      <c r="R152" s="16"/>
      <c r="S152" s="318"/>
      <c r="T152" s="318"/>
      <c r="U152" s="319"/>
      <c r="V152" s="1"/>
      <c r="W152" s="1"/>
      <c r="X152" s="1"/>
      <c r="Y152" s="1"/>
    </row>
    <row r="153" spans="1:25" s="7" customFormat="1" ht="23.25" customHeight="1">
      <c r="A153" s="1"/>
      <c r="B153" s="14"/>
      <c r="C153" s="14"/>
      <c r="D153" s="14"/>
      <c r="E153" s="10"/>
      <c r="F153" s="10"/>
      <c r="G153" s="10"/>
      <c r="H153" s="10"/>
      <c r="I153" s="10"/>
      <c r="J153" s="10"/>
      <c r="K153" s="10"/>
      <c r="L153" s="10"/>
      <c r="M153" s="6"/>
      <c r="N153" s="6"/>
      <c r="O153" s="6"/>
      <c r="P153" s="6"/>
      <c r="Q153" s="6"/>
      <c r="R153" s="16"/>
      <c r="S153" s="324"/>
      <c r="T153" s="318"/>
      <c r="U153" s="319"/>
      <c r="V153" s="1"/>
      <c r="W153" s="1"/>
      <c r="X153" s="1"/>
      <c r="Y153" s="1"/>
    </row>
    <row r="154" spans="1:25" s="7" customFormat="1" ht="23.25" customHeight="1">
      <c r="A154" s="1"/>
      <c r="B154" s="14"/>
      <c r="C154" s="14"/>
      <c r="D154" s="14"/>
      <c r="E154" s="10"/>
      <c r="F154" s="10"/>
      <c r="G154" s="10"/>
      <c r="H154" s="10"/>
      <c r="I154" s="10"/>
      <c r="J154" s="10"/>
      <c r="K154" s="10"/>
      <c r="L154" s="10"/>
      <c r="M154" s="6"/>
      <c r="N154" s="6"/>
      <c r="O154" s="6"/>
      <c r="P154" s="6"/>
      <c r="Q154" s="6"/>
      <c r="R154" s="16"/>
      <c r="S154" s="324"/>
      <c r="T154" s="318"/>
      <c r="U154" s="319"/>
      <c r="V154" s="1"/>
      <c r="W154" s="1"/>
      <c r="X154" s="1"/>
      <c r="Y154" s="1"/>
    </row>
    <row r="155" spans="1:25" s="7" customFormat="1" ht="23.25" customHeight="1">
      <c r="A155" s="1"/>
      <c r="B155" s="14"/>
      <c r="C155" s="14"/>
      <c r="D155" s="14"/>
      <c r="E155" s="10"/>
      <c r="F155" s="10"/>
      <c r="G155" s="10"/>
      <c r="H155" s="10"/>
      <c r="I155" s="10"/>
      <c r="J155" s="10"/>
      <c r="K155" s="10"/>
      <c r="L155" s="10"/>
      <c r="M155" s="6"/>
      <c r="N155" s="6"/>
      <c r="O155" s="6"/>
      <c r="P155" s="6"/>
      <c r="Q155" s="6"/>
      <c r="R155" s="16"/>
      <c r="S155" s="324"/>
      <c r="T155" s="318"/>
      <c r="U155" s="319"/>
      <c r="V155" s="1"/>
      <c r="W155" s="1"/>
      <c r="X155" s="1"/>
      <c r="Y155" s="1"/>
    </row>
    <row r="156" spans="1:25" s="7" customFormat="1" ht="23.25" customHeight="1">
      <c r="A156" s="1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6"/>
      <c r="N156" s="6"/>
      <c r="O156" s="6"/>
      <c r="P156" s="6"/>
      <c r="Q156" s="6"/>
      <c r="R156" s="16"/>
      <c r="S156" s="324"/>
      <c r="T156" s="318"/>
      <c r="U156" s="319"/>
      <c r="V156" s="1"/>
      <c r="W156" s="1"/>
      <c r="X156" s="1"/>
      <c r="Y156" s="1"/>
    </row>
    <row r="157" spans="1:25" s="7" customFormat="1" ht="23.25" customHeight="1">
      <c r="A157" s="1"/>
      <c r="B157" s="14"/>
      <c r="C157" s="14"/>
      <c r="D157" s="14"/>
      <c r="E157" s="10"/>
      <c r="F157" s="10"/>
      <c r="G157" s="10"/>
      <c r="H157" s="10"/>
      <c r="I157" s="10"/>
      <c r="J157" s="10"/>
      <c r="K157" s="10"/>
      <c r="L157" s="10"/>
      <c r="M157" s="6"/>
      <c r="N157" s="10"/>
      <c r="O157" s="6"/>
      <c r="P157" s="6"/>
      <c r="Q157" s="6"/>
      <c r="R157" s="16"/>
      <c r="S157" s="318"/>
      <c r="T157" s="318"/>
      <c r="U157" s="319"/>
      <c r="V157" s="1"/>
      <c r="W157" s="1"/>
      <c r="X157" s="1"/>
      <c r="Y157" s="1"/>
    </row>
    <row r="158" spans="1:25" s="7" customFormat="1" ht="23.25" customHeight="1">
      <c r="A158" s="1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6"/>
      <c r="N158" s="6"/>
      <c r="O158" s="6"/>
      <c r="P158" s="6"/>
      <c r="Q158" s="6"/>
      <c r="R158" s="16"/>
      <c r="S158" s="318"/>
      <c r="T158" s="318"/>
      <c r="U158" s="319"/>
      <c r="V158" s="1"/>
      <c r="W158" s="1"/>
      <c r="X158" s="1"/>
      <c r="Y158" s="1"/>
    </row>
    <row r="159" spans="1:25" s="7" customFormat="1" ht="23.25" customHeight="1">
      <c r="A159" s="1"/>
      <c r="B159" s="14"/>
      <c r="C159" s="14"/>
      <c r="D159" s="14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6"/>
      <c r="P159" s="6"/>
      <c r="Q159" s="6"/>
      <c r="R159" s="16"/>
      <c r="S159" s="318"/>
      <c r="T159" s="318"/>
      <c r="U159" s="319"/>
      <c r="V159" s="1"/>
      <c r="W159" s="1"/>
      <c r="X159" s="1"/>
      <c r="Y159" s="1"/>
    </row>
    <row r="160" spans="1:25" ht="23.25" customHeight="1">
      <c r="B160" s="14"/>
      <c r="C160" s="14"/>
      <c r="D160" s="14"/>
      <c r="N160" s="10"/>
    </row>
    <row r="161" spans="1:25" ht="23.25" customHeight="1">
      <c r="B161" s="14"/>
      <c r="C161" s="14"/>
      <c r="D161" s="14"/>
      <c r="N161" s="10"/>
    </row>
    <row r="162" spans="1:25" s="25" customFormat="1" ht="23.25" customHeight="1">
      <c r="B162" s="14"/>
      <c r="C162" s="14"/>
      <c r="D162" s="14"/>
      <c r="E162" s="10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263"/>
      <c r="Q162" s="263"/>
      <c r="R162" s="16"/>
      <c r="S162" s="325"/>
      <c r="T162" s="325"/>
      <c r="U162" s="326"/>
    </row>
    <row r="163" spans="1:25" s="25" customFormat="1" ht="23.25" customHeight="1">
      <c r="B163" s="14"/>
      <c r="C163" s="14"/>
      <c r="D163" s="14"/>
      <c r="E163" s="10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263"/>
      <c r="Q163" s="263"/>
      <c r="R163" s="16"/>
      <c r="S163" s="325"/>
      <c r="T163" s="325"/>
      <c r="U163" s="326"/>
    </row>
    <row r="164" spans="1:25" ht="23.25" customHeight="1">
      <c r="B164" s="263"/>
      <c r="C164" s="14"/>
      <c r="D164" s="14"/>
      <c r="M164" s="10"/>
      <c r="N164" s="10"/>
    </row>
    <row r="165" spans="1:25" ht="23.25" customHeight="1">
      <c r="B165" s="114"/>
      <c r="H165" s="39"/>
      <c r="I165" s="39"/>
      <c r="J165" s="39"/>
      <c r="K165" s="39"/>
      <c r="L165" s="39"/>
      <c r="M165" s="39"/>
      <c r="N165" s="39"/>
      <c r="O165" s="39"/>
    </row>
    <row r="166" spans="1:25" ht="23.25" customHeight="1">
      <c r="B166" s="26"/>
      <c r="H166" s="39"/>
      <c r="I166" s="39"/>
      <c r="J166" s="39"/>
      <c r="K166" s="39"/>
      <c r="L166" s="39"/>
      <c r="M166" s="39"/>
      <c r="N166" s="39"/>
      <c r="O166" s="39"/>
    </row>
    <row r="167" spans="1:25" ht="23.25" customHeight="1">
      <c r="B167" s="26"/>
      <c r="C167" s="26"/>
      <c r="D167" s="26"/>
      <c r="H167" s="39"/>
      <c r="I167" s="39"/>
      <c r="J167" s="39"/>
      <c r="K167" s="39"/>
      <c r="L167" s="39"/>
      <c r="M167" s="39"/>
      <c r="N167" s="39"/>
      <c r="O167" s="39"/>
    </row>
    <row r="168" spans="1:25" ht="23.25" customHeight="1">
      <c r="B168" s="26"/>
      <c r="C168" s="26"/>
      <c r="D168" s="26"/>
      <c r="H168" s="39"/>
      <c r="I168" s="39"/>
      <c r="J168" s="39"/>
      <c r="K168" s="39"/>
      <c r="L168" s="39"/>
      <c r="M168" s="39"/>
      <c r="N168" s="39"/>
      <c r="O168" s="39"/>
    </row>
    <row r="169" spans="1:25" ht="23.25" customHeight="1">
      <c r="B169" s="26"/>
      <c r="C169" s="26"/>
      <c r="D169" s="26"/>
      <c r="H169" s="39"/>
      <c r="I169" s="39"/>
      <c r="J169" s="39"/>
      <c r="K169" s="39"/>
      <c r="L169" s="39"/>
      <c r="M169" s="39"/>
      <c r="N169" s="39"/>
      <c r="O169" s="39"/>
    </row>
    <row r="170" spans="1:25" ht="23.25" customHeight="1">
      <c r="B170" s="14"/>
      <c r="H170" s="39"/>
      <c r="I170" s="39"/>
      <c r="J170" s="39"/>
      <c r="K170" s="39"/>
      <c r="L170" s="39"/>
      <c r="M170" s="39"/>
      <c r="N170" s="39"/>
      <c r="O170" s="39"/>
    </row>
    <row r="171" spans="1:25" ht="23.25" customHeight="1">
      <c r="B171" s="26"/>
      <c r="H171" s="39"/>
      <c r="I171" s="39"/>
      <c r="J171" s="39"/>
      <c r="K171" s="39"/>
      <c r="L171" s="39"/>
      <c r="M171" s="39"/>
      <c r="N171" s="39"/>
      <c r="O171" s="39"/>
    </row>
    <row r="172" spans="1:25" ht="23.25" customHeight="1">
      <c r="B172" s="114"/>
      <c r="H172" s="39"/>
      <c r="I172" s="39"/>
      <c r="J172" s="39"/>
      <c r="K172" s="39"/>
      <c r="L172" s="39"/>
      <c r="M172" s="39"/>
      <c r="N172" s="39"/>
      <c r="O172" s="39"/>
    </row>
    <row r="173" spans="1:25" ht="23.25" customHeight="1">
      <c r="B173" s="26"/>
      <c r="H173" s="39"/>
      <c r="I173" s="39"/>
      <c r="J173" s="39"/>
      <c r="K173" s="39"/>
      <c r="L173" s="39"/>
      <c r="M173" s="39"/>
      <c r="N173" s="39"/>
      <c r="O173" s="39"/>
    </row>
    <row r="174" spans="1:25" ht="23.25" customHeight="1">
      <c r="H174" s="39"/>
      <c r="I174" s="39"/>
      <c r="J174" s="39"/>
      <c r="K174" s="39"/>
      <c r="L174" s="39"/>
      <c r="M174" s="39"/>
      <c r="N174" s="39"/>
      <c r="O174" s="39"/>
    </row>
    <row r="175" spans="1:25" ht="23.25" customHeight="1">
      <c r="B175" s="14"/>
      <c r="H175" s="39"/>
      <c r="I175" s="39"/>
      <c r="J175" s="39"/>
      <c r="K175" s="39"/>
      <c r="L175" s="39"/>
      <c r="M175" s="39"/>
      <c r="N175" s="39"/>
      <c r="O175" s="39"/>
    </row>
    <row r="176" spans="1:25" s="10" customFormat="1" ht="23.25" customHeight="1">
      <c r="A176" s="1"/>
      <c r="H176" s="39"/>
      <c r="I176" s="39"/>
      <c r="J176" s="39"/>
      <c r="K176" s="39"/>
      <c r="L176" s="39"/>
      <c r="M176" s="39"/>
      <c r="N176" s="39"/>
      <c r="O176" s="39"/>
      <c r="P176" s="6"/>
      <c r="Q176" s="6"/>
      <c r="R176" s="16"/>
      <c r="S176" s="318"/>
      <c r="T176" s="318"/>
      <c r="U176" s="319"/>
      <c r="V176" s="1"/>
      <c r="W176" s="1"/>
      <c r="X176" s="1"/>
      <c r="Y176" s="1"/>
    </row>
    <row r="177" spans="1:25" s="10" customFormat="1" ht="23.25" customHeight="1">
      <c r="A177" s="1"/>
      <c r="B177" s="116"/>
      <c r="C177" s="16"/>
      <c r="D177" s="16"/>
      <c r="H177" s="39"/>
      <c r="I177" s="39"/>
      <c r="J177" s="39"/>
      <c r="K177" s="39"/>
      <c r="L177" s="39"/>
      <c r="M177" s="39"/>
      <c r="N177" s="39"/>
      <c r="O177" s="39"/>
      <c r="P177" s="6"/>
      <c r="Q177" s="6"/>
      <c r="R177" s="16"/>
      <c r="S177" s="318"/>
      <c r="T177" s="318"/>
      <c r="U177" s="319"/>
      <c r="V177" s="1"/>
      <c r="W177" s="1"/>
      <c r="X177" s="1"/>
      <c r="Y177" s="1"/>
    </row>
    <row r="178" spans="1:25" s="10" customFormat="1" ht="23.25" customHeight="1">
      <c r="A178" s="1"/>
      <c r="B178" s="16"/>
      <c r="C178" s="16"/>
      <c r="D178" s="16"/>
      <c r="H178" s="39"/>
      <c r="I178" s="39"/>
      <c r="J178" s="39"/>
      <c r="K178" s="39"/>
      <c r="L178" s="39"/>
      <c r="M178" s="39"/>
      <c r="N178" s="39"/>
      <c r="O178" s="39"/>
      <c r="P178" s="6"/>
      <c r="Q178" s="6"/>
      <c r="R178" s="16"/>
      <c r="S178" s="318"/>
      <c r="T178" s="318"/>
      <c r="U178" s="319"/>
      <c r="V178" s="1"/>
      <c r="W178" s="1"/>
      <c r="X178" s="1"/>
      <c r="Y178" s="1"/>
    </row>
    <row r="179" spans="1:25" s="10" customFormat="1" ht="23.25" customHeight="1">
      <c r="A179" s="1"/>
      <c r="B179" s="14"/>
      <c r="H179" s="39"/>
      <c r="I179" s="39"/>
      <c r="J179" s="39"/>
      <c r="K179" s="39"/>
      <c r="L179" s="39"/>
      <c r="M179" s="39"/>
      <c r="N179" s="39"/>
      <c r="O179" s="39"/>
      <c r="P179" s="6"/>
      <c r="Q179" s="6"/>
      <c r="R179" s="16"/>
      <c r="S179" s="318"/>
      <c r="T179" s="318"/>
      <c r="U179" s="319"/>
      <c r="V179" s="1"/>
      <c r="W179" s="1"/>
      <c r="X179" s="1"/>
      <c r="Y179" s="1"/>
    </row>
    <row r="180" spans="1:25" s="10" customFormat="1" ht="23.25" customHeight="1">
      <c r="A180" s="1"/>
      <c r="H180" s="39"/>
      <c r="I180" s="39"/>
      <c r="J180" s="39"/>
      <c r="K180" s="39"/>
      <c r="L180" s="39"/>
      <c r="M180" s="39"/>
      <c r="N180" s="39"/>
      <c r="O180" s="39"/>
      <c r="P180" s="6"/>
      <c r="Q180" s="6"/>
      <c r="R180" s="16"/>
      <c r="S180" s="318"/>
      <c r="T180" s="318"/>
      <c r="U180" s="319"/>
      <c r="V180" s="1"/>
      <c r="W180" s="1"/>
      <c r="X180" s="1"/>
      <c r="Y180" s="1"/>
    </row>
    <row r="181" spans="1:25" s="10" customFormat="1" ht="23.25" customHeight="1">
      <c r="A181" s="1"/>
      <c r="B181" s="14"/>
      <c r="H181" s="39"/>
      <c r="I181" s="39"/>
      <c r="J181" s="39"/>
      <c r="K181" s="39"/>
      <c r="L181" s="39"/>
      <c r="M181" s="39"/>
      <c r="N181" s="39"/>
      <c r="O181" s="39"/>
      <c r="P181" s="6"/>
      <c r="Q181" s="6"/>
      <c r="R181" s="16"/>
      <c r="S181" s="318"/>
      <c r="T181" s="318"/>
      <c r="U181" s="319"/>
      <c r="V181" s="1"/>
      <c r="W181" s="1"/>
      <c r="X181" s="1"/>
      <c r="Y181" s="1"/>
    </row>
    <row r="182" spans="1:25" s="10" customFormat="1" ht="23.25" customHeight="1">
      <c r="A182" s="1"/>
      <c r="H182" s="39"/>
      <c r="I182" s="39"/>
      <c r="J182" s="39"/>
      <c r="K182" s="39"/>
      <c r="L182" s="39"/>
      <c r="M182" s="39"/>
      <c r="N182" s="39"/>
      <c r="O182" s="39"/>
      <c r="P182" s="6"/>
      <c r="Q182" s="6"/>
      <c r="R182" s="16"/>
      <c r="S182" s="318"/>
      <c r="T182" s="318"/>
      <c r="U182" s="319"/>
      <c r="V182" s="1"/>
      <c r="W182" s="1"/>
      <c r="X182" s="1"/>
      <c r="Y182" s="1"/>
    </row>
    <row r="183" spans="1:25" s="10" customFormat="1" ht="23.25" customHeight="1">
      <c r="A183" s="1"/>
      <c r="B183" s="14"/>
      <c r="H183" s="39"/>
      <c r="I183" s="39"/>
      <c r="J183" s="39"/>
      <c r="K183" s="39"/>
      <c r="L183" s="39"/>
      <c r="M183" s="39"/>
      <c r="N183" s="39"/>
      <c r="O183" s="39"/>
      <c r="P183" s="6"/>
      <c r="Q183" s="6"/>
      <c r="R183" s="16"/>
      <c r="S183" s="318"/>
      <c r="T183" s="318"/>
      <c r="U183" s="319"/>
      <c r="V183" s="1"/>
      <c r="W183" s="1"/>
      <c r="X183" s="1"/>
      <c r="Y183" s="1"/>
    </row>
    <row r="184" spans="1:25" s="10" customFormat="1" ht="23.25" customHeight="1">
      <c r="A184" s="1"/>
      <c r="H184" s="39"/>
      <c r="I184" s="39"/>
      <c r="J184" s="39"/>
      <c r="K184" s="39"/>
      <c r="L184" s="39"/>
      <c r="M184" s="39"/>
      <c r="N184" s="39"/>
      <c r="O184" s="39"/>
      <c r="P184" s="6"/>
      <c r="Q184" s="6"/>
      <c r="R184" s="16"/>
      <c r="S184" s="318"/>
      <c r="T184" s="318"/>
      <c r="U184" s="319"/>
      <c r="V184" s="1"/>
      <c r="W184" s="1"/>
      <c r="X184" s="1"/>
      <c r="Y184" s="1"/>
    </row>
    <row r="185" spans="1:25" s="10" customFormat="1" ht="23.25" customHeight="1">
      <c r="A185" s="1"/>
      <c r="B185" s="14"/>
      <c r="H185" s="39"/>
      <c r="I185" s="39"/>
      <c r="J185" s="39"/>
      <c r="K185" s="39"/>
      <c r="L185" s="39"/>
      <c r="M185" s="39"/>
      <c r="N185" s="39"/>
      <c r="O185" s="39"/>
      <c r="P185" s="6"/>
      <c r="Q185" s="6"/>
      <c r="R185" s="16"/>
      <c r="S185" s="318"/>
      <c r="T185" s="318"/>
      <c r="U185" s="319"/>
      <c r="V185" s="1"/>
      <c r="W185" s="1"/>
      <c r="X185" s="1"/>
      <c r="Y185" s="1"/>
    </row>
    <row r="186" spans="1:25" s="10" customFormat="1" ht="23.25" customHeight="1">
      <c r="A186" s="1"/>
      <c r="H186" s="39"/>
      <c r="I186" s="39"/>
      <c r="J186" s="39"/>
      <c r="K186" s="39"/>
      <c r="L186" s="39"/>
      <c r="M186" s="39"/>
      <c r="N186" s="39"/>
      <c r="O186" s="39"/>
      <c r="P186" s="6"/>
      <c r="Q186" s="6"/>
      <c r="R186" s="16"/>
      <c r="S186" s="318"/>
      <c r="T186" s="318"/>
      <c r="U186" s="319"/>
      <c r="V186" s="1"/>
      <c r="W186" s="1"/>
      <c r="X186" s="1"/>
      <c r="Y186" s="1"/>
    </row>
    <row r="187" spans="1:25" s="10" customFormat="1" ht="23.25" customHeight="1">
      <c r="A187" s="1"/>
      <c r="B187" s="14"/>
      <c r="H187" s="39"/>
      <c r="I187" s="39"/>
      <c r="J187" s="39"/>
      <c r="K187" s="39"/>
      <c r="L187" s="39"/>
      <c r="M187" s="39"/>
      <c r="N187" s="39"/>
      <c r="O187" s="39"/>
      <c r="P187" s="6"/>
      <c r="Q187" s="6"/>
      <c r="R187" s="16"/>
      <c r="S187" s="318"/>
      <c r="T187" s="318"/>
      <c r="U187" s="319"/>
      <c r="V187" s="1"/>
      <c r="W187" s="1"/>
      <c r="X187" s="1"/>
      <c r="Y187" s="1"/>
    </row>
    <row r="188" spans="1:25" s="10" customFormat="1" ht="23.25" customHeight="1">
      <c r="A188" s="1"/>
      <c r="H188" s="39"/>
      <c r="I188" s="39"/>
      <c r="J188" s="39"/>
      <c r="K188" s="39"/>
      <c r="L188" s="39"/>
      <c r="M188" s="39"/>
      <c r="N188" s="39"/>
      <c r="O188" s="39"/>
      <c r="P188" s="6"/>
      <c r="Q188" s="6"/>
      <c r="R188" s="16"/>
      <c r="S188" s="318"/>
      <c r="T188" s="318"/>
      <c r="U188" s="319"/>
      <c r="V188" s="1"/>
      <c r="W188" s="1"/>
      <c r="X188" s="1"/>
      <c r="Y188" s="1"/>
    </row>
    <row r="189" spans="1:25" s="10" customFormat="1" ht="23.25" customHeight="1">
      <c r="A189" s="1"/>
      <c r="B189" s="14"/>
      <c r="F189" s="113"/>
      <c r="H189" s="39"/>
      <c r="I189" s="39"/>
      <c r="J189" s="39"/>
      <c r="K189" s="39"/>
      <c r="L189" s="39"/>
      <c r="M189" s="39"/>
      <c r="N189" s="39"/>
      <c r="O189" s="39"/>
      <c r="P189" s="6"/>
      <c r="Q189" s="6"/>
      <c r="R189" s="16"/>
      <c r="S189" s="318"/>
      <c r="T189" s="318"/>
      <c r="U189" s="319"/>
      <c r="V189" s="1"/>
      <c r="W189" s="1"/>
      <c r="X189" s="1"/>
      <c r="Y189" s="1"/>
    </row>
    <row r="190" spans="1:25" s="10" customFormat="1" ht="23.25" customHeight="1">
      <c r="A190" s="1"/>
      <c r="H190" s="39"/>
      <c r="I190" s="39"/>
      <c r="J190" s="39"/>
      <c r="K190" s="39"/>
      <c r="L190" s="39"/>
      <c r="M190" s="39"/>
      <c r="N190" s="39"/>
      <c r="O190" s="39"/>
      <c r="P190" s="6"/>
      <c r="Q190" s="6"/>
      <c r="R190" s="16"/>
      <c r="S190" s="318"/>
      <c r="T190" s="318"/>
      <c r="U190" s="319"/>
      <c r="V190" s="1"/>
      <c r="W190" s="1"/>
      <c r="X190" s="1"/>
      <c r="Y190" s="1"/>
    </row>
    <row r="191" spans="1:25" s="10" customFormat="1" ht="23.25" customHeight="1">
      <c r="A191" s="1"/>
      <c r="B191" s="14"/>
      <c r="H191" s="39"/>
      <c r="I191" s="39"/>
      <c r="J191" s="39"/>
      <c r="K191" s="39"/>
      <c r="L191" s="39"/>
      <c r="M191" s="39"/>
      <c r="N191" s="39"/>
      <c r="O191" s="39"/>
      <c r="P191" s="6"/>
      <c r="Q191" s="6"/>
      <c r="R191" s="16"/>
      <c r="S191" s="318"/>
      <c r="T191" s="318"/>
      <c r="U191" s="319"/>
      <c r="V191" s="1"/>
      <c r="W191" s="1"/>
      <c r="X191" s="1"/>
      <c r="Y191" s="1"/>
    </row>
    <row r="192" spans="1:25" ht="23.25" customHeight="1">
      <c r="B192" s="14"/>
      <c r="F192" s="14"/>
      <c r="G192" s="14"/>
      <c r="H192" s="39"/>
      <c r="I192" s="39"/>
      <c r="J192" s="39"/>
      <c r="K192" s="39"/>
      <c r="L192" s="39"/>
      <c r="M192" s="39"/>
      <c r="N192" s="39"/>
      <c r="O192" s="39"/>
      <c r="T192" s="325"/>
    </row>
    <row r="193" spans="1:24" s="25" customFormat="1" ht="23.25" customHeight="1">
      <c r="B193" s="14"/>
      <c r="C193" s="14"/>
      <c r="D193" s="14"/>
      <c r="E193" s="10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263"/>
      <c r="Q193" s="263"/>
      <c r="R193" s="16"/>
      <c r="S193" s="325"/>
      <c r="T193" s="327"/>
      <c r="U193" s="326"/>
    </row>
    <row r="194" spans="1:24" s="25" customFormat="1" ht="23.25" customHeight="1">
      <c r="B194" s="14"/>
      <c r="C194" s="14"/>
      <c r="D194" s="14"/>
      <c r="E194" s="10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263"/>
      <c r="Q194" s="263"/>
      <c r="R194" s="16"/>
      <c r="S194" s="325"/>
      <c r="T194" s="328"/>
      <c r="U194" s="326"/>
    </row>
    <row r="195" spans="1:24" ht="23.25" customHeight="1">
      <c r="B195" s="14"/>
      <c r="C195" s="14"/>
      <c r="D195" s="14"/>
      <c r="H195" s="14"/>
      <c r="I195" s="14"/>
      <c r="J195" s="14"/>
      <c r="K195" s="14"/>
      <c r="L195" s="14"/>
      <c r="M195" s="14"/>
      <c r="N195" s="14"/>
      <c r="O195" s="14"/>
      <c r="P195" s="263"/>
    </row>
    <row r="196" spans="1:24" ht="23.25" customHeight="1">
      <c r="B196" s="14"/>
      <c r="C196" s="14"/>
      <c r="D196" s="14"/>
      <c r="H196" s="14"/>
      <c r="I196" s="14"/>
      <c r="J196" s="14"/>
      <c r="K196" s="14"/>
      <c r="L196" s="14"/>
      <c r="M196" s="14"/>
      <c r="N196" s="14"/>
      <c r="O196" s="14"/>
      <c r="P196" s="263"/>
    </row>
    <row r="197" spans="1:24" s="25" customFormat="1" ht="23.25" customHeight="1">
      <c r="B197" s="9"/>
      <c r="C197" s="9"/>
      <c r="D197" s="9"/>
      <c r="E197" s="51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52"/>
      <c r="Q197" s="263"/>
      <c r="R197" s="16"/>
      <c r="S197" s="325"/>
      <c r="T197" s="325"/>
      <c r="U197" s="326"/>
    </row>
    <row r="198" spans="1:24" s="25" customFormat="1" ht="23.25" customHeight="1">
      <c r="B198" s="9"/>
      <c r="C198" s="9"/>
      <c r="D198" s="9"/>
      <c r="E198" s="51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52"/>
      <c r="Q198" s="263"/>
      <c r="R198" s="16"/>
      <c r="S198" s="325"/>
      <c r="T198" s="325"/>
      <c r="U198" s="326"/>
    </row>
    <row r="199" spans="1:24" s="25" customFormat="1" ht="23.25" customHeight="1">
      <c r="B199" s="9"/>
      <c r="C199" s="9"/>
      <c r="D199" s="9"/>
      <c r="E199" s="51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52"/>
      <c r="Q199" s="263"/>
      <c r="R199" s="16"/>
      <c r="S199" s="325"/>
      <c r="T199" s="325"/>
      <c r="U199" s="326"/>
    </row>
    <row r="200" spans="1:24" s="25" customFormat="1" ht="23.25" customHeight="1" thickBot="1">
      <c r="B200" s="14"/>
      <c r="C200" s="14"/>
      <c r="D200" s="14"/>
      <c r="E200" s="10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263"/>
      <c r="Q200" s="263"/>
      <c r="R200" s="16"/>
      <c r="S200" s="325"/>
      <c r="T200" s="325"/>
      <c r="U200" s="326"/>
    </row>
    <row r="201" spans="1:24" s="53" customFormat="1" ht="23.25" customHeight="1" thickTop="1">
      <c r="B201" s="348" t="s">
        <v>44</v>
      </c>
      <c r="C201" s="349"/>
      <c r="D201" s="349"/>
      <c r="E201" s="349"/>
      <c r="F201" s="349"/>
      <c r="G201" s="349"/>
      <c r="H201" s="349"/>
      <c r="I201" s="349"/>
      <c r="J201" s="349"/>
      <c r="K201" s="349"/>
      <c r="L201" s="349"/>
      <c r="M201" s="349"/>
      <c r="N201" s="349"/>
      <c r="O201" s="350"/>
      <c r="P201" s="54"/>
      <c r="Q201" s="54"/>
      <c r="R201" s="329"/>
      <c r="S201" s="330"/>
      <c r="T201" s="330"/>
      <c r="U201" s="331"/>
    </row>
    <row r="202" spans="1:24" s="53" customFormat="1" ht="23.25" customHeight="1">
      <c r="B202" s="351" t="s">
        <v>45</v>
      </c>
      <c r="C202" s="352"/>
      <c r="D202" s="352"/>
      <c r="E202" s="352"/>
      <c r="F202" s="352"/>
      <c r="G202" s="352"/>
      <c r="H202" s="352"/>
      <c r="I202" s="352"/>
      <c r="J202" s="352"/>
      <c r="K202" s="352"/>
      <c r="L202" s="352"/>
      <c r="M202" s="352"/>
      <c r="N202" s="352"/>
      <c r="O202" s="353"/>
      <c r="P202" s="54"/>
      <c r="Q202" s="54"/>
      <c r="R202" s="329"/>
      <c r="S202" s="330"/>
      <c r="T202" s="330"/>
      <c r="U202" s="331"/>
    </row>
    <row r="203" spans="1:24" s="53" customFormat="1" ht="23.25" customHeight="1">
      <c r="A203" s="56" t="s">
        <v>46</v>
      </c>
      <c r="B203" s="57" t="s">
        <v>47</v>
      </c>
      <c r="C203" s="58"/>
      <c r="D203" s="58"/>
      <c r="E203" s="59"/>
      <c r="F203" s="59"/>
      <c r="G203" s="59"/>
      <c r="H203" s="99" t="s">
        <v>48</v>
      </c>
      <c r="I203" s="99" t="s">
        <v>49</v>
      </c>
      <c r="K203" s="99" t="s">
        <v>50</v>
      </c>
      <c r="M203" s="99" t="s">
        <v>51</v>
      </c>
      <c r="N203" s="98"/>
      <c r="O203" s="60" t="s">
        <v>52</v>
      </c>
      <c r="P203" s="97" t="s">
        <v>53</v>
      </c>
      <c r="Q203" s="54"/>
      <c r="R203" s="329"/>
      <c r="S203" s="331"/>
      <c r="T203" s="331"/>
      <c r="U203" s="331"/>
    </row>
    <row r="204" spans="1:24" s="53" customFormat="1" ht="23.25" customHeight="1">
      <c r="A204" s="55"/>
      <c r="B204" s="61"/>
      <c r="C204" s="1"/>
      <c r="D204" s="1"/>
      <c r="E204" s="55"/>
      <c r="F204" s="55"/>
      <c r="G204" s="55"/>
      <c r="H204" s="55"/>
      <c r="I204" s="55"/>
      <c r="J204" s="55"/>
      <c r="K204" s="55"/>
      <c r="L204" s="55"/>
      <c r="M204" s="54"/>
      <c r="N204" s="54"/>
      <c r="O204" s="62"/>
      <c r="P204" s="96"/>
      <c r="Q204" s="54"/>
      <c r="R204" s="329"/>
      <c r="S204" s="331"/>
      <c r="T204" s="331"/>
      <c r="U204" s="331"/>
    </row>
    <row r="205" spans="1:24" s="53" customFormat="1" ht="23.25" customHeight="1">
      <c r="A205" s="64">
        <v>12630</v>
      </c>
      <c r="B205" s="63" t="s">
        <v>54</v>
      </c>
      <c r="C205" s="1"/>
      <c r="D205" s="1"/>
      <c r="E205" s="55"/>
      <c r="F205" s="55"/>
      <c r="G205" s="55"/>
      <c r="H205" s="64">
        <f>12570</f>
        <v>12570</v>
      </c>
      <c r="I205" s="64">
        <f>H205*1.08</f>
        <v>13575.6</v>
      </c>
      <c r="K205" s="64">
        <f>I205*1.08</f>
        <v>14661.648000000001</v>
      </c>
      <c r="M205" s="64">
        <f>K205*1.08</f>
        <v>15834.579840000002</v>
      </c>
      <c r="O205" s="65">
        <f>M205*1.08</f>
        <v>17101.346227200003</v>
      </c>
      <c r="P205" s="100">
        <f>O205*1.08</f>
        <v>18469.453925376005</v>
      </c>
      <c r="Q205" s="66" t="s">
        <v>55</v>
      </c>
      <c r="R205" s="332"/>
      <c r="S205" s="333"/>
      <c r="T205" s="333"/>
      <c r="U205" s="333"/>
      <c r="V205" s="67"/>
      <c r="W205" s="67"/>
      <c r="X205" s="67"/>
    </row>
    <row r="206" spans="1:24" s="53" customFormat="1" ht="23.25" customHeight="1">
      <c r="A206" s="64">
        <v>3564</v>
      </c>
      <c r="B206" s="63" t="s">
        <v>56</v>
      </c>
      <c r="C206" s="1"/>
      <c r="D206" s="1"/>
      <c r="E206" s="55"/>
      <c r="F206" s="55"/>
      <c r="G206" s="55"/>
      <c r="H206" s="64">
        <f>3601.65</f>
        <v>3601.65</v>
      </c>
      <c r="I206" s="64">
        <f>H206*1.07</f>
        <v>3853.7655000000004</v>
      </c>
      <c r="K206" s="64">
        <f>I206*1.07</f>
        <v>4123.529085000001</v>
      </c>
      <c r="M206" s="95">
        <f>K206*1.07</f>
        <v>4412.1761209500009</v>
      </c>
      <c r="O206" s="65">
        <f>M206*1.07</f>
        <v>4721.0284494165016</v>
      </c>
      <c r="P206" s="101">
        <f>O206*1.07</f>
        <v>5051.5004408756567</v>
      </c>
      <c r="Q206" s="94" t="s">
        <v>57</v>
      </c>
      <c r="R206" s="334"/>
      <c r="S206" s="331"/>
      <c r="T206" s="331"/>
      <c r="U206" s="331"/>
    </row>
    <row r="207" spans="1:24" s="53" customFormat="1" ht="23.25" customHeight="1">
      <c r="A207" s="68">
        <f>SUM(A205:A206)</f>
        <v>16194</v>
      </c>
      <c r="B207" s="63" t="s">
        <v>58</v>
      </c>
      <c r="C207" s="1"/>
      <c r="D207" s="1"/>
      <c r="E207" s="55"/>
      <c r="F207" s="55"/>
      <c r="G207" s="55"/>
      <c r="H207" s="68">
        <f>SUM(H205:H206)</f>
        <v>16171.65</v>
      </c>
      <c r="I207" s="68">
        <f>SUM(I205:I206)</f>
        <v>17429.3655</v>
      </c>
      <c r="K207" s="68">
        <f>SUM(K205:K206)</f>
        <v>18785.177085000003</v>
      </c>
      <c r="M207" s="68">
        <f>SUM(M205:M206)</f>
        <v>20246.755960950002</v>
      </c>
      <c r="O207" s="69">
        <f>SUM(O205:O206)</f>
        <v>21822.374676616506</v>
      </c>
      <c r="P207" s="102">
        <f>SUM(P205:P206)</f>
        <v>23520.954366251663</v>
      </c>
      <c r="Q207" s="54"/>
      <c r="R207" s="334"/>
      <c r="S207" s="331"/>
      <c r="T207" s="331"/>
      <c r="U207" s="331"/>
    </row>
    <row r="208" spans="1:24" s="53" customFormat="1" ht="23.25" customHeight="1">
      <c r="A208" s="64"/>
      <c r="B208" s="63"/>
      <c r="C208" s="1"/>
      <c r="D208" s="1"/>
      <c r="E208" s="55"/>
      <c r="F208" s="55"/>
      <c r="G208" s="55"/>
      <c r="H208" s="64"/>
      <c r="I208" s="64"/>
      <c r="K208" s="64"/>
      <c r="M208" s="64"/>
      <c r="O208" s="70"/>
      <c r="P208" s="100"/>
      <c r="Q208" s="54"/>
      <c r="R208" s="334"/>
      <c r="S208" s="331"/>
      <c r="T208" s="331"/>
      <c r="U208" s="331"/>
    </row>
    <row r="209" spans="1:25" ht="23.25" customHeight="1">
      <c r="A209" s="64">
        <f>A205</f>
        <v>12630</v>
      </c>
      <c r="B209" s="63" t="s">
        <v>59</v>
      </c>
      <c r="C209" s="1"/>
      <c r="D209" s="1"/>
      <c r="H209" s="64">
        <f>H205</f>
        <v>12570</v>
      </c>
      <c r="I209" s="64">
        <f>+H209*1.08</f>
        <v>13575.6</v>
      </c>
      <c r="K209" s="64">
        <f>+I209*1.08</f>
        <v>14661.648000000001</v>
      </c>
      <c r="M209" s="64">
        <f>+K209*1.08</f>
        <v>15834.579840000002</v>
      </c>
      <c r="O209" s="65">
        <f>+M209*1.08</f>
        <v>17101.346227200003</v>
      </c>
      <c r="P209" s="103">
        <f>O209*1.08</f>
        <v>18469.453925376005</v>
      </c>
      <c r="Q209" s="93" t="str">
        <f>+Q205</f>
        <v>escalated 8% annually</v>
      </c>
      <c r="R209" s="332"/>
      <c r="S209" s="333"/>
      <c r="T209" s="335"/>
      <c r="U209" s="335"/>
      <c r="V209" s="71"/>
      <c r="W209" s="71"/>
      <c r="X209" s="71"/>
    </row>
    <row r="210" spans="1:25" ht="23.25" customHeight="1">
      <c r="A210" s="64">
        <f>A206</f>
        <v>3564</v>
      </c>
      <c r="B210" s="63" t="s">
        <v>60</v>
      </c>
      <c r="C210" s="1"/>
      <c r="D210" s="1"/>
      <c r="H210" s="64">
        <f>H206</f>
        <v>3601.65</v>
      </c>
      <c r="I210" s="64">
        <f>H210*1.07</f>
        <v>3853.7655000000004</v>
      </c>
      <c r="K210" s="64">
        <f>I210*1.07</f>
        <v>4123.529085000001</v>
      </c>
      <c r="M210" s="64">
        <f>K210*1.07</f>
        <v>4412.1761209500009</v>
      </c>
      <c r="O210" s="65">
        <f>M210*1.07</f>
        <v>4721.0284494165016</v>
      </c>
      <c r="P210" s="104">
        <f>O210*1.07</f>
        <v>5051.5004408756567</v>
      </c>
      <c r="Q210" s="26" t="str">
        <f>Q206</f>
        <v>escalated 7% annually</v>
      </c>
      <c r="R210" s="317"/>
      <c r="S210" s="331"/>
      <c r="T210" s="319"/>
    </row>
    <row r="211" spans="1:25" ht="23.25" customHeight="1">
      <c r="A211" s="89">
        <v>15102</v>
      </c>
      <c r="B211" s="63" t="s">
        <v>61</v>
      </c>
      <c r="C211" s="1"/>
      <c r="D211" s="1"/>
      <c r="H211" s="89">
        <f>15102</f>
        <v>15102</v>
      </c>
      <c r="I211" s="92">
        <f>H211*1.08</f>
        <v>16310.160000000002</v>
      </c>
      <c r="K211" s="92">
        <f>I211*1.08</f>
        <v>17614.972800000003</v>
      </c>
      <c r="M211" s="91">
        <f>K211*1.08</f>
        <v>19024.170624000006</v>
      </c>
      <c r="O211" s="91">
        <f>M211*1.08</f>
        <v>20546.104273920009</v>
      </c>
      <c r="P211" s="105">
        <f>O211*1.08</f>
        <v>22189.792615833612</v>
      </c>
      <c r="Q211" s="26" t="s">
        <v>62</v>
      </c>
      <c r="R211" s="317"/>
      <c r="S211" s="331"/>
      <c r="T211" s="319"/>
    </row>
    <row r="212" spans="1:25" s="25" customFormat="1" ht="23.25" customHeight="1">
      <c r="A212" s="68">
        <f>SUM(A209:A211)</f>
        <v>31296</v>
      </c>
      <c r="B212" s="63" t="s">
        <v>63</v>
      </c>
      <c r="C212" s="1"/>
      <c r="D212" s="1"/>
      <c r="E212" s="10"/>
      <c r="F212" s="10"/>
      <c r="G212" s="10"/>
      <c r="H212" s="68">
        <f>SUM(H209:H211)</f>
        <v>31273.65</v>
      </c>
      <c r="I212" s="68">
        <f>SUM(I209:I211)</f>
        <v>33739.525500000003</v>
      </c>
      <c r="J212" s="10"/>
      <c r="K212" s="68">
        <f>SUM(K209:K211)</f>
        <v>36400.149885000006</v>
      </c>
      <c r="L212" s="10"/>
      <c r="M212" s="68">
        <f>SUM(M209:M211)</f>
        <v>39270.926584950008</v>
      </c>
      <c r="N212" s="6"/>
      <c r="O212" s="69">
        <f>SUM(O209:O211)</f>
        <v>42368.478950536519</v>
      </c>
      <c r="P212" s="106">
        <f>SUM(P209:P211)</f>
        <v>45710.746982085271</v>
      </c>
      <c r="Q212" s="90"/>
      <c r="R212" s="336"/>
      <c r="S212" s="319"/>
      <c r="T212" s="319"/>
      <c r="U212" s="319"/>
      <c r="V212" s="1"/>
      <c r="W212" s="1"/>
      <c r="X212" s="1"/>
      <c r="Y212" s="1"/>
    </row>
    <row r="213" spans="1:25" ht="23.25" customHeight="1">
      <c r="A213" s="64"/>
      <c r="B213" s="63"/>
      <c r="C213" s="1"/>
      <c r="D213" s="1"/>
      <c r="H213" s="64"/>
      <c r="I213" s="64"/>
      <c r="K213" s="64"/>
      <c r="M213" s="64"/>
      <c r="O213" s="70"/>
      <c r="P213" s="103"/>
      <c r="Q213" s="90"/>
      <c r="R213" s="336"/>
      <c r="S213" s="319"/>
      <c r="T213" s="319"/>
    </row>
    <row r="214" spans="1:25" ht="23.25" customHeight="1">
      <c r="A214" s="64">
        <f>A205</f>
        <v>12630</v>
      </c>
      <c r="B214" s="63" t="s">
        <v>64</v>
      </c>
      <c r="C214" s="1"/>
      <c r="D214" s="1"/>
      <c r="H214" s="64">
        <f>H209</f>
        <v>12570</v>
      </c>
      <c r="I214" s="64">
        <f>I209</f>
        <v>13575.6</v>
      </c>
      <c r="K214" s="64">
        <f>K209</f>
        <v>14661.648000000001</v>
      </c>
      <c r="M214" s="64">
        <f>M209</f>
        <v>15834.579840000002</v>
      </c>
      <c r="O214" s="65">
        <f>M209*1.11</f>
        <v>17576.383622400004</v>
      </c>
      <c r="P214" s="107">
        <f>P209*1.11</f>
        <v>20501.093857167369</v>
      </c>
      <c r="Q214" s="26" t="s">
        <v>65</v>
      </c>
      <c r="R214" s="334"/>
      <c r="S214" s="319"/>
      <c r="T214" s="319"/>
    </row>
    <row r="215" spans="1:25" s="25" customFormat="1" ht="23.25" customHeight="1">
      <c r="A215" s="64">
        <f>A206</f>
        <v>3564</v>
      </c>
      <c r="B215" s="63" t="s">
        <v>66</v>
      </c>
      <c r="C215" s="1"/>
      <c r="D215" s="1"/>
      <c r="E215" s="10"/>
      <c r="F215" s="10"/>
      <c r="G215" s="10"/>
      <c r="H215" s="64">
        <f>H210</f>
        <v>3601.65</v>
      </c>
      <c r="I215" s="64">
        <f>I210</f>
        <v>3853.7655000000004</v>
      </c>
      <c r="J215" s="10"/>
      <c r="K215" s="64">
        <f>K210</f>
        <v>4123.529085000001</v>
      </c>
      <c r="L215" s="10"/>
      <c r="M215" s="64">
        <f>M210</f>
        <v>4412.1761209500009</v>
      </c>
      <c r="N215" s="6"/>
      <c r="O215" s="65">
        <f>M210*1.07</f>
        <v>4721.0284494165016</v>
      </c>
      <c r="P215" s="103">
        <f>O215*1.07</f>
        <v>5051.5004408756567</v>
      </c>
      <c r="Q215" s="26" t="str">
        <f>Q206</f>
        <v>escalated 7% annually</v>
      </c>
      <c r="R215" s="317"/>
      <c r="S215" s="319"/>
      <c r="T215" s="319"/>
      <c r="U215" s="319"/>
      <c r="V215" s="1"/>
      <c r="W215" s="1"/>
      <c r="X215" s="1"/>
      <c r="Y215" s="1"/>
    </row>
    <row r="216" spans="1:25" ht="23.25" customHeight="1">
      <c r="A216" s="89">
        <v>0</v>
      </c>
      <c r="B216" s="63" t="s">
        <v>67</v>
      </c>
      <c r="C216" s="1"/>
      <c r="D216" s="1"/>
      <c r="H216" s="89">
        <v>0</v>
      </c>
      <c r="I216" s="89">
        <v>0</v>
      </c>
      <c r="K216" s="89">
        <f>K211</f>
        <v>17614.972800000003</v>
      </c>
      <c r="M216" s="88">
        <f>M211</f>
        <v>19024.170624000006</v>
      </c>
      <c r="O216" s="87">
        <f>O211</f>
        <v>20546.104273920009</v>
      </c>
      <c r="P216" s="104">
        <f>P211</f>
        <v>22189.792615833612</v>
      </c>
      <c r="Q216" s="26" t="s">
        <v>68</v>
      </c>
      <c r="R216" s="118"/>
      <c r="S216" s="319"/>
      <c r="T216" s="319"/>
    </row>
    <row r="217" spans="1:25" ht="23.25" customHeight="1">
      <c r="A217" s="68">
        <f>SUM(A214:A216)</f>
        <v>16194</v>
      </c>
      <c r="B217" s="63" t="s">
        <v>63</v>
      </c>
      <c r="C217" s="1"/>
      <c r="D217" s="1"/>
      <c r="H217" s="68">
        <f>SUM(H214:H216)</f>
        <v>16171.65</v>
      </c>
      <c r="I217" s="68">
        <f>SUM(I214:I216)</f>
        <v>17429.3655</v>
      </c>
      <c r="K217" s="68">
        <f>SUM(K214:K216)</f>
        <v>36400.149885000006</v>
      </c>
      <c r="M217" s="68">
        <f>SUM(M214:M216)</f>
        <v>39270.926584950008</v>
      </c>
      <c r="O217" s="69">
        <f>SUM(O214:O216)</f>
        <v>42843.516345736512</v>
      </c>
      <c r="P217" s="106">
        <f>SUM(P214:P216)</f>
        <v>47742.386913876639</v>
      </c>
      <c r="Q217" s="253"/>
      <c r="R217" s="323"/>
      <c r="S217" s="319"/>
      <c r="T217" s="319"/>
    </row>
    <row r="218" spans="1:25" ht="23.25" customHeight="1">
      <c r="B218" s="72"/>
      <c r="K218" s="6"/>
      <c r="O218" s="73"/>
      <c r="P218" s="86"/>
      <c r="Q218" s="253"/>
      <c r="R218" s="323"/>
      <c r="S218" s="319"/>
      <c r="T218" s="319"/>
    </row>
    <row r="219" spans="1:25" ht="23.25" customHeight="1">
      <c r="B219" s="74" t="s">
        <v>69</v>
      </c>
      <c r="C219" s="14"/>
      <c r="D219" s="14"/>
      <c r="F219" s="14"/>
      <c r="G219" s="14"/>
      <c r="H219" s="75" t="e">
        <f>ROUND((#REF!*H207)+(#REF!*H212)+(#REF!*H207)+(#REF!*H212),0)</f>
        <v>#REF!</v>
      </c>
      <c r="I219" s="75" t="e">
        <f>ROUND((#REF!*I207)+(#REF!*I212)+(#REF!*I207)+(#REF!*I212),0)</f>
        <v>#REF!</v>
      </c>
      <c r="J219" s="25"/>
      <c r="K219" s="75" t="e">
        <f>ROUND((#REF!*K207)+(#REF!*K212)+(#REF!*K207)+(#REF!*K217),0)</f>
        <v>#REF!</v>
      </c>
      <c r="L219" s="25"/>
      <c r="M219" s="75" t="e">
        <f>ROUND((#REF!*M207)+(#REF!*M212)+(#REF!*M207)+(#REF!*M217),0)</f>
        <v>#REF!</v>
      </c>
      <c r="N219" s="25"/>
      <c r="O219" s="85" t="e">
        <f>ROUND((#REF!*O207)+(#REF!*O212)+(#REF!*O207)+(#REF!*O217),0)</f>
        <v>#REF!</v>
      </c>
      <c r="P219" s="84"/>
      <c r="Q219" s="263"/>
      <c r="R219" s="116"/>
      <c r="S219" s="326"/>
      <c r="T219" s="326"/>
      <c r="U219" s="326"/>
      <c r="V219" s="25"/>
      <c r="W219" s="25"/>
    </row>
    <row r="220" spans="1:25" ht="23.25" customHeight="1" thickBot="1">
      <c r="B220" s="76"/>
      <c r="C220" s="77"/>
      <c r="D220" s="77"/>
      <c r="E220" s="78"/>
      <c r="F220" s="78"/>
      <c r="G220" s="78"/>
      <c r="H220" s="79" t="e">
        <f>SUM(H219:H219)</f>
        <v>#REF!</v>
      </c>
      <c r="I220" s="79" t="e">
        <f>SUM(I219:I219)</f>
        <v>#REF!</v>
      </c>
      <c r="J220" s="78"/>
      <c r="K220" s="83" t="e">
        <f>SUM(K219:K219)</f>
        <v>#REF!</v>
      </c>
      <c r="L220" s="78"/>
      <c r="M220" s="83" t="e">
        <f>SUM(M219:M219)</f>
        <v>#REF!</v>
      </c>
      <c r="N220" s="82"/>
      <c r="O220" s="80" t="e">
        <f>SUM(O219:O219)</f>
        <v>#REF!</v>
      </c>
      <c r="P220" s="81"/>
      <c r="S220" s="319"/>
      <c r="T220" s="319"/>
    </row>
    <row r="221" spans="1:25" ht="51.75" customHeight="1" thickTop="1"/>
    <row r="222" spans="1:25" ht="51.75" customHeight="1"/>
    <row r="225" spans="1:25" s="10" customFormat="1">
      <c r="A225" s="1"/>
      <c r="H225" s="10" t="s">
        <v>70</v>
      </c>
      <c r="M225" s="6"/>
      <c r="N225" s="6"/>
      <c r="O225" s="6"/>
      <c r="P225" s="6"/>
      <c r="Q225" s="6"/>
      <c r="R225" s="16"/>
      <c r="S225" s="318"/>
      <c r="T225" s="318"/>
      <c r="U225" s="319"/>
      <c r="V225" s="1"/>
      <c r="W225" s="1"/>
      <c r="X225" s="1"/>
      <c r="Y225" s="1"/>
    </row>
  </sheetData>
  <sheetProtection selectLockedCells="1"/>
  <dataConsolidate/>
  <mergeCells count="4">
    <mergeCell ref="B201:O201"/>
    <mergeCell ref="B202:O202"/>
    <mergeCell ref="P1:Q1"/>
    <mergeCell ref="B2:Q2"/>
  </mergeCells>
  <pageMargins left="0.17" right="0.17" top="0.27" bottom="0.24" header="0.28999999999999998" footer="0.25"/>
  <pageSetup scale="55" fitToHeight="2" orientation="portrait" horizontalDpi="4294967292" r:id="rId1"/>
  <headerFooter alignWithMargins="0"/>
  <rowBreaks count="2" manualBreakCount="2">
    <brk id="103" max="15" man="1"/>
    <brk id="197" max="15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TABLES!$A$137:$A$138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TABLES!$A$12:$A$99</xm:f>
          </x14:formula1>
          <xm:sqref>B33 B51 B27 B22 B17 B12 B7 B87 B78 B69 B60 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1"/>
  <sheetViews>
    <sheetView showGridLines="0" zoomScale="85" zoomScaleNormal="85" workbookViewId="0">
      <selection activeCell="G74" sqref="G74"/>
    </sheetView>
  </sheetViews>
  <sheetFormatPr defaultColWidth="9.33203125" defaultRowHeight="13.8"/>
  <cols>
    <col min="1" max="1" width="9.109375" style="1" customWidth="1"/>
    <col min="2" max="2" width="14.6640625" style="13" customWidth="1"/>
    <col min="3" max="3" width="14" style="10" customWidth="1"/>
    <col min="4" max="4" width="2.44140625" style="10" customWidth="1"/>
    <col min="5" max="5" width="20.33203125" style="10" customWidth="1"/>
    <col min="6" max="6" width="2.6640625" style="10" customWidth="1"/>
    <col min="7" max="9" width="14" style="10" customWidth="1"/>
    <col min="10" max="11" width="14" style="6" customWidth="1"/>
    <col min="12" max="12" width="16.33203125" style="15" bestFit="1" customWidth="1"/>
    <col min="13" max="13" width="15.5546875" style="16" customWidth="1"/>
    <col min="14" max="14" width="6.44140625" style="318" customWidth="1"/>
    <col min="15" max="15" width="18" style="318" bestFit="1" customWidth="1"/>
    <col min="16" max="16384" width="9.33203125" style="1"/>
  </cols>
  <sheetData>
    <row r="1" spans="1:14" ht="13.5" customHeight="1">
      <c r="B1" s="2" t="s">
        <v>71</v>
      </c>
      <c r="C1" s="3"/>
      <c r="D1" s="3"/>
      <c r="E1" s="3"/>
      <c r="F1" s="3"/>
      <c r="G1" s="3"/>
      <c r="H1" s="3"/>
      <c r="I1" s="3"/>
      <c r="J1" s="3"/>
      <c r="K1" s="4"/>
      <c r="L1" s="247">
        <v>43994</v>
      </c>
      <c r="M1" s="316"/>
      <c r="N1" s="317"/>
    </row>
    <row r="2" spans="1:14" ht="13.5" customHeight="1">
      <c r="B2" s="8"/>
      <c r="C2" s="9"/>
      <c r="D2" s="9"/>
      <c r="E2" s="9"/>
      <c r="F2" s="9"/>
      <c r="G2" s="9"/>
      <c r="H2" s="9"/>
      <c r="I2" s="9"/>
      <c r="J2" s="9"/>
      <c r="K2" s="10"/>
      <c r="L2" s="12"/>
      <c r="M2" s="317"/>
      <c r="N2" s="317"/>
    </row>
    <row r="3" spans="1:14" ht="13.5" customHeight="1">
      <c r="E3" s="14" t="s">
        <v>72</v>
      </c>
      <c r="F3" s="14"/>
      <c r="G3" s="14" t="s">
        <v>73</v>
      </c>
      <c r="J3" s="148" t="s">
        <v>74</v>
      </c>
      <c r="K3" s="11" t="s">
        <v>75</v>
      </c>
    </row>
    <row r="4" spans="1:14" ht="13.5" customHeight="1">
      <c r="B4" s="337" t="s">
        <v>76</v>
      </c>
      <c r="C4" s="16"/>
      <c r="D4" s="16"/>
      <c r="E4" s="193"/>
      <c r="F4" s="16"/>
      <c r="G4" s="361"/>
      <c r="H4" s="362"/>
      <c r="I4" s="317"/>
      <c r="J4" s="17"/>
      <c r="K4" s="18"/>
      <c r="L4" s="311"/>
    </row>
    <row r="5" spans="1:14" ht="13.5" customHeight="1">
      <c r="B5" s="337" t="s">
        <v>77</v>
      </c>
      <c r="C5" s="16"/>
      <c r="D5" s="16"/>
      <c r="E5" s="193"/>
      <c r="F5" s="16"/>
      <c r="G5" s="361"/>
      <c r="H5" s="362"/>
      <c r="I5" s="16"/>
      <c r="J5" s="363" t="s">
        <v>78</v>
      </c>
      <c r="K5" s="363"/>
      <c r="L5" s="311"/>
    </row>
    <row r="6" spans="1:14" ht="13.5" customHeight="1">
      <c r="B6" s="337" t="s">
        <v>79</v>
      </c>
      <c r="C6" s="16"/>
      <c r="D6" s="16"/>
      <c r="E6" s="193"/>
      <c r="F6" s="16"/>
      <c r="G6" s="264"/>
      <c r="H6" s="265"/>
      <c r="I6" s="16"/>
      <c r="J6" s="361"/>
      <c r="K6" s="362"/>
      <c r="L6" s="311"/>
    </row>
    <row r="7" spans="1:14" ht="13.5" customHeight="1">
      <c r="B7" s="337" t="s">
        <v>80</v>
      </c>
      <c r="C7" s="16"/>
      <c r="D7" s="16"/>
      <c r="E7" s="193"/>
      <c r="F7" s="16"/>
      <c r="G7" s="264"/>
      <c r="H7" s="265"/>
      <c r="I7" s="16"/>
      <c r="J7" s="364" t="s">
        <v>81</v>
      </c>
      <c r="K7" s="364"/>
      <c r="L7" s="311"/>
    </row>
    <row r="8" spans="1:14" ht="13.5" customHeight="1">
      <c r="B8" s="337" t="s">
        <v>82</v>
      </c>
      <c r="C8" s="16"/>
      <c r="D8" s="16"/>
      <c r="E8" s="193"/>
      <c r="F8" s="16"/>
      <c r="G8" s="361"/>
      <c r="H8" s="362"/>
      <c r="I8" s="317"/>
      <c r="J8" s="361"/>
      <c r="K8" s="362"/>
      <c r="L8" s="311"/>
    </row>
    <row r="9" spans="1:14" ht="13.5" customHeight="1">
      <c r="B9" s="337"/>
      <c r="C9" s="16"/>
      <c r="D9" s="16"/>
      <c r="E9" s="16"/>
      <c r="F9" s="16"/>
      <c r="G9" s="16"/>
      <c r="H9" s="16"/>
      <c r="I9" s="16"/>
      <c r="J9" s="317"/>
      <c r="K9" s="317"/>
      <c r="L9" s="311"/>
    </row>
    <row r="10" spans="1:14" ht="13.5" customHeight="1">
      <c r="B10" s="338"/>
      <c r="C10" s="339"/>
      <c r="D10" s="339"/>
      <c r="E10" s="340"/>
      <c r="F10" s="340"/>
      <c r="G10" s="340"/>
      <c r="H10" s="340"/>
      <c r="I10" s="339"/>
      <c r="J10" s="341"/>
      <c r="K10" s="341"/>
      <c r="L10" s="311"/>
    </row>
    <row r="11" spans="1:14" ht="13.5" customHeight="1">
      <c r="B11" s="2" t="s">
        <v>83</v>
      </c>
      <c r="C11" s="4"/>
      <c r="D11" s="4"/>
      <c r="E11" s="4"/>
      <c r="F11" s="4"/>
      <c r="G11" s="4"/>
      <c r="H11" s="4"/>
      <c r="I11" s="4"/>
      <c r="J11" s="5"/>
      <c r="K11" s="5"/>
      <c r="L11" s="36"/>
    </row>
    <row r="12" spans="1:14" ht="13.5" customHeight="1"/>
    <row r="13" spans="1:14" ht="13.5" customHeight="1">
      <c r="A13" s="25"/>
      <c r="C13" s="37"/>
      <c r="D13" s="122"/>
      <c r="E13" s="123"/>
      <c r="F13" s="123"/>
      <c r="G13" s="124" t="s">
        <v>84</v>
      </c>
      <c r="H13" s="124" t="s">
        <v>85</v>
      </c>
      <c r="I13" s="124" t="s">
        <v>86</v>
      </c>
      <c r="J13" s="124" t="s">
        <v>87</v>
      </c>
      <c r="K13" s="124" t="s">
        <v>88</v>
      </c>
      <c r="L13" s="31" t="s">
        <v>89</v>
      </c>
    </row>
    <row r="14" spans="1:14" ht="12.75" customHeight="1">
      <c r="B14" s="32" t="s">
        <v>90</v>
      </c>
      <c r="C14" s="37"/>
      <c r="D14" s="122"/>
      <c r="E14" s="123"/>
      <c r="F14" s="123"/>
      <c r="G14" s="38"/>
      <c r="H14" s="38"/>
      <c r="I14" s="38"/>
      <c r="J14" s="38"/>
      <c r="K14" s="38"/>
      <c r="L14" s="31"/>
    </row>
    <row r="15" spans="1:14" ht="12.75" customHeight="1">
      <c r="A15" s="13" t="str">
        <f>IF((ISBLANK(G4)),"-",SalaryWorksheet!A7)</f>
        <v>-</v>
      </c>
      <c r="B15" s="13" t="str">
        <f>IF((ISBLANK(G4)),"-",SalaryWorksheet!B6)</f>
        <v>-</v>
      </c>
      <c r="C15" s="37"/>
      <c r="D15" s="122"/>
      <c r="E15" s="123"/>
      <c r="F15" s="6" t="str">
        <f>SalaryWorksheet!K7</f>
        <v>Wages</v>
      </c>
      <c r="G15" s="6">
        <f>SalaryWorksheet!L7</f>
        <v>0</v>
      </c>
      <c r="H15" s="6">
        <f>SalaryWorksheet!M7</f>
        <v>0</v>
      </c>
      <c r="I15" s="6">
        <f>SalaryWorksheet!N7</f>
        <v>0</v>
      </c>
      <c r="J15" s="6">
        <f>SalaryWorksheet!O7</f>
        <v>0</v>
      </c>
      <c r="K15" s="6">
        <f>SalaryWorksheet!P7</f>
        <v>0</v>
      </c>
      <c r="L15" s="15">
        <f>SUM(G15:K15)</f>
        <v>0</v>
      </c>
    </row>
    <row r="16" spans="1:14" ht="11.25" customHeight="1">
      <c r="A16" s="13" t="str">
        <f>IF((ISBLANK(G4)),"-",SalaryWorksheet!A8)</f>
        <v>-</v>
      </c>
      <c r="B16" s="32"/>
      <c r="C16" s="37"/>
      <c r="D16" s="122"/>
      <c r="E16" s="123"/>
      <c r="F16" s="6" t="str">
        <f>SalaryWorksheet!K8</f>
        <v>Benefits</v>
      </c>
      <c r="G16" s="6">
        <f>SalaryWorksheet!L8</f>
        <v>0</v>
      </c>
      <c r="H16" s="6">
        <f>SalaryWorksheet!M8</f>
        <v>0</v>
      </c>
      <c r="I16" s="6">
        <f>SalaryWorksheet!N8</f>
        <v>0</v>
      </c>
      <c r="J16" s="6">
        <f>SalaryWorksheet!O8</f>
        <v>0</v>
      </c>
      <c r="K16" s="6">
        <f>SalaryWorksheet!P8</f>
        <v>0</v>
      </c>
      <c r="L16" s="15">
        <f>SUM(G16:K16)</f>
        <v>0</v>
      </c>
    </row>
    <row r="17" spans="1:13">
      <c r="C17" s="37"/>
      <c r="D17" s="122"/>
      <c r="E17" s="123"/>
      <c r="F17" s="123"/>
      <c r="G17" s="38"/>
      <c r="H17" s="38"/>
      <c r="I17" s="38"/>
      <c r="J17" s="38"/>
      <c r="K17" s="38"/>
    </row>
    <row r="18" spans="1:13" ht="12.75" customHeight="1">
      <c r="A18" s="13" t="str">
        <f>IF((ISBLANK(G5)),"-",SalaryWorksheet!A12)</f>
        <v>-</v>
      </c>
      <c r="B18" s="29" t="str">
        <f>IF((ISBLANK(G5)),"-",SalaryWorksheet!B11)</f>
        <v>-</v>
      </c>
      <c r="C18" s="37"/>
      <c r="D18" s="122"/>
      <c r="E18" s="123"/>
      <c r="F18" s="6" t="str">
        <f>SalaryWorksheet!K12</f>
        <v>Wages</v>
      </c>
      <c r="G18" s="6">
        <f>SalaryWorksheet!L12</f>
        <v>0</v>
      </c>
      <c r="H18" s="6">
        <f>SalaryWorksheet!M12</f>
        <v>0</v>
      </c>
      <c r="I18" s="6">
        <f>SalaryWorksheet!N12</f>
        <v>0</v>
      </c>
      <c r="J18" s="6">
        <f>SalaryWorksheet!O12</f>
        <v>0</v>
      </c>
      <c r="K18" s="6">
        <f>SalaryWorksheet!P12</f>
        <v>0</v>
      </c>
      <c r="L18" s="15">
        <f>SUM(G18:K18)</f>
        <v>0</v>
      </c>
    </row>
    <row r="19" spans="1:13" ht="12.75" customHeight="1">
      <c r="A19" s="13" t="str">
        <f>IF((ISBLANK(G5)),"-",SalaryWorksheet!A13)</f>
        <v>-</v>
      </c>
      <c r="B19" s="32"/>
      <c r="C19" s="37"/>
      <c r="D19" s="122"/>
      <c r="E19" s="123"/>
      <c r="F19" s="6" t="str">
        <f>SalaryWorksheet!K13</f>
        <v>Benefits</v>
      </c>
      <c r="G19" s="6">
        <f>SalaryWorksheet!L13</f>
        <v>0</v>
      </c>
      <c r="H19" s="6">
        <f>SalaryWorksheet!M13</f>
        <v>0</v>
      </c>
      <c r="I19" s="6">
        <f>SalaryWorksheet!N13</f>
        <v>0</v>
      </c>
      <c r="J19" s="6">
        <f>SalaryWorksheet!O13</f>
        <v>0</v>
      </c>
      <c r="K19" s="6">
        <f>SalaryWorksheet!P13</f>
        <v>0</v>
      </c>
      <c r="L19" s="15">
        <f>SUM(G19:K19)</f>
        <v>0</v>
      </c>
    </row>
    <row r="20" spans="1:13" ht="12.75" customHeight="1">
      <c r="B20" s="32"/>
      <c r="C20" s="37"/>
      <c r="D20" s="122"/>
      <c r="E20" s="123"/>
      <c r="F20" s="6"/>
      <c r="G20" s="6"/>
      <c r="H20" s="6"/>
      <c r="I20" s="6"/>
    </row>
    <row r="21" spans="1:13" ht="12.75" customHeight="1">
      <c r="A21" s="13" t="str">
        <f>IF((ISBLANK(G6)),"-",SalaryWorksheet!A17)</f>
        <v>-</v>
      </c>
      <c r="B21" s="29" t="str">
        <f>IF((ISBLANK(G8)),"-",SalaryWorksheet!B16)</f>
        <v>-</v>
      </c>
      <c r="C21" s="37"/>
      <c r="D21" s="122"/>
      <c r="E21" s="123"/>
      <c r="F21" s="6" t="str">
        <f>SalaryWorksheet!K17</f>
        <v>Wages</v>
      </c>
      <c r="G21" s="6">
        <f>SalaryWorksheet!L17</f>
        <v>0</v>
      </c>
      <c r="H21" s="6">
        <f>SalaryWorksheet!M17</f>
        <v>0</v>
      </c>
      <c r="I21" s="6">
        <f>SalaryWorksheet!N17</f>
        <v>0</v>
      </c>
      <c r="J21" s="6">
        <f>SalaryWorksheet!O17</f>
        <v>0</v>
      </c>
      <c r="K21" s="6">
        <f>SalaryWorksheet!P17</f>
        <v>0</v>
      </c>
      <c r="L21" s="15">
        <f>SUM(G21:K21)</f>
        <v>0</v>
      </c>
    </row>
    <row r="22" spans="1:13" ht="12.75" customHeight="1">
      <c r="A22" s="13" t="str">
        <f>IF((ISBLANK(G6)),"-",SalaryWorksheet!A18)</f>
        <v>-</v>
      </c>
      <c r="B22" s="32"/>
      <c r="C22" s="37"/>
      <c r="D22" s="122"/>
      <c r="E22" s="123"/>
      <c r="F22" s="6" t="str">
        <f>SalaryWorksheet!K18</f>
        <v>Benefits</v>
      </c>
      <c r="G22" s="6">
        <f>SalaryWorksheet!L18</f>
        <v>0</v>
      </c>
      <c r="H22" s="6">
        <f>SalaryWorksheet!M18</f>
        <v>0</v>
      </c>
      <c r="I22" s="6">
        <f>SalaryWorksheet!N18</f>
        <v>0</v>
      </c>
      <c r="J22" s="6">
        <f>SalaryWorksheet!O18</f>
        <v>0</v>
      </c>
      <c r="K22" s="6">
        <f>SalaryWorksheet!P18</f>
        <v>0</v>
      </c>
      <c r="L22" s="15">
        <f>SUM(G22:K22)</f>
        <v>0</v>
      </c>
    </row>
    <row r="23" spans="1:13" ht="12.75" customHeight="1">
      <c r="B23" s="32"/>
      <c r="C23" s="37"/>
      <c r="D23" s="122"/>
      <c r="E23" s="123"/>
      <c r="F23" s="6"/>
      <c r="G23" s="6"/>
      <c r="H23" s="6"/>
      <c r="I23" s="6"/>
    </row>
    <row r="24" spans="1:13" ht="12.75" customHeight="1">
      <c r="A24" s="13" t="str">
        <f>IF((ISBLANK(G7)),"-",SalaryWorksheet!A22)</f>
        <v>-</v>
      </c>
      <c r="B24" s="29" t="str">
        <f>IF((ISBLANK(G6)),"-",SalaryWorksheet!B21)</f>
        <v>-</v>
      </c>
      <c r="C24" s="37"/>
      <c r="D24" s="122"/>
      <c r="E24" s="123"/>
      <c r="F24" s="6" t="str">
        <f>SalaryWorksheet!K22</f>
        <v>Wages</v>
      </c>
      <c r="G24" s="6">
        <f>SalaryWorksheet!L22</f>
        <v>0</v>
      </c>
      <c r="H24" s="6">
        <f>SalaryWorksheet!M22</f>
        <v>0</v>
      </c>
      <c r="I24" s="6">
        <f>SalaryWorksheet!N22</f>
        <v>0</v>
      </c>
      <c r="J24" s="6">
        <f>SalaryWorksheet!O22</f>
        <v>0</v>
      </c>
      <c r="K24" s="6">
        <f>SalaryWorksheet!P22</f>
        <v>0</v>
      </c>
      <c r="L24" s="15">
        <f>SUM(G24:K24)</f>
        <v>0</v>
      </c>
    </row>
    <row r="25" spans="1:13" ht="12.75" customHeight="1">
      <c r="A25" s="13" t="str">
        <f>IF((ISBLANK(G7)),"-",SalaryWorksheet!A23)</f>
        <v>-</v>
      </c>
      <c r="B25" s="32"/>
      <c r="C25" s="37"/>
      <c r="D25" s="122"/>
      <c r="E25" s="123"/>
      <c r="F25" s="6" t="str">
        <f>SalaryWorksheet!K23</f>
        <v>Benefits</v>
      </c>
      <c r="G25" s="6">
        <f>SalaryWorksheet!L23</f>
        <v>0</v>
      </c>
      <c r="H25" s="6">
        <f>SalaryWorksheet!M23</f>
        <v>0</v>
      </c>
      <c r="I25" s="6">
        <f>SalaryWorksheet!N23</f>
        <v>0</v>
      </c>
      <c r="J25" s="6">
        <f>SalaryWorksheet!O23</f>
        <v>0</v>
      </c>
      <c r="K25" s="6">
        <f>SalaryWorksheet!P23</f>
        <v>0</v>
      </c>
      <c r="L25" s="15">
        <f>SUM(G25:K25)</f>
        <v>0</v>
      </c>
    </row>
    <row r="26" spans="1:13" ht="12.75" customHeight="1">
      <c r="B26" s="32"/>
      <c r="C26" s="37"/>
      <c r="D26" s="122"/>
      <c r="E26" s="123"/>
      <c r="F26" s="6"/>
      <c r="G26" s="6"/>
      <c r="H26" s="6"/>
      <c r="I26" s="6"/>
    </row>
    <row r="27" spans="1:13" ht="12.75" customHeight="1">
      <c r="A27" s="13" t="str">
        <f>IF((ISBLANK(G8)),"-",SalaryWorksheet!A27)</f>
        <v>-</v>
      </c>
      <c r="B27" s="13" t="str">
        <f>IF((ISBLANK(G8)),"-",SalaryWorksheet!B26)</f>
        <v>-</v>
      </c>
      <c r="C27" s="26"/>
      <c r="D27" s="122"/>
      <c r="E27" s="123"/>
      <c r="F27" s="6" t="str">
        <f>SalaryWorksheet!K27</f>
        <v>Wages</v>
      </c>
      <c r="G27" s="6">
        <f>SalaryWorksheet!L27</f>
        <v>0</v>
      </c>
      <c r="H27" s="6">
        <f>SalaryWorksheet!M27</f>
        <v>0</v>
      </c>
      <c r="I27" s="6">
        <f>SalaryWorksheet!N27</f>
        <v>0</v>
      </c>
      <c r="J27" s="6">
        <f>SalaryWorksheet!O27</f>
        <v>0</v>
      </c>
      <c r="K27" s="6">
        <f>SalaryWorksheet!P27</f>
        <v>0</v>
      </c>
      <c r="L27" s="15">
        <f>SUM(G27:K27)</f>
        <v>0</v>
      </c>
    </row>
    <row r="28" spans="1:13" ht="12.75" customHeight="1">
      <c r="A28" s="13" t="str">
        <f>IF((ISBLANK(G8)),"-",SalaryWorksheet!A28)</f>
        <v>-</v>
      </c>
      <c r="B28" s="29"/>
      <c r="C28" s="26"/>
      <c r="D28" s="122"/>
      <c r="E28" s="123"/>
      <c r="F28" s="6" t="str">
        <f>SalaryWorksheet!K28</f>
        <v>Benefits</v>
      </c>
      <c r="G28" s="6">
        <f>SalaryWorksheet!L28</f>
        <v>0</v>
      </c>
      <c r="H28" s="6">
        <f>SalaryWorksheet!M28</f>
        <v>0</v>
      </c>
      <c r="I28" s="6">
        <f>SalaryWorksheet!N28</f>
        <v>0</v>
      </c>
      <c r="J28" s="6">
        <f>SalaryWorksheet!O28</f>
        <v>0</v>
      </c>
      <c r="K28" s="6">
        <f>SalaryWorksheet!P28</f>
        <v>0</v>
      </c>
      <c r="L28" s="15">
        <f>SUM(G28:K28)</f>
        <v>0</v>
      </c>
    </row>
    <row r="29" spans="1:13" ht="12.75" customHeight="1">
      <c r="B29" s="29"/>
      <c r="C29" s="26"/>
      <c r="D29" s="122"/>
      <c r="E29" s="123"/>
      <c r="F29" s="123"/>
      <c r="G29" s="38"/>
      <c r="H29" s="38"/>
      <c r="I29" s="38"/>
      <c r="J29" s="38"/>
      <c r="K29" s="38"/>
      <c r="L29" s="31"/>
    </row>
    <row r="30" spans="1:13" ht="13.5" customHeight="1">
      <c r="B30" s="29"/>
      <c r="C30" s="26"/>
      <c r="D30" s="26"/>
      <c r="J30" s="10"/>
      <c r="M30" s="323"/>
    </row>
    <row r="31" spans="1:13" ht="13.5" customHeight="1">
      <c r="B31" s="32" t="s">
        <v>26</v>
      </c>
      <c r="C31" s="26"/>
      <c r="D31" s="26"/>
    </row>
    <row r="32" spans="1:13" ht="13.5" customHeight="1">
      <c r="A32" s="207" t="str">
        <f>SalaryWorksheet!A33</f>
        <v>BC11</v>
      </c>
      <c r="B32" s="13" t="str">
        <f>SalaryWorksheet!B32</f>
        <v>Proposal Position #1, TBD</v>
      </c>
      <c r="F32" s="6" t="str">
        <f>SalaryWorksheet!K33</f>
        <v>Wages</v>
      </c>
      <c r="G32" s="6">
        <f>SalaryWorksheet!L33</f>
        <v>0</v>
      </c>
      <c r="H32" s="6">
        <f>SalaryWorksheet!M33</f>
        <v>0</v>
      </c>
      <c r="I32" s="6">
        <f>SalaryWorksheet!N33</f>
        <v>0</v>
      </c>
      <c r="J32" s="6">
        <f>SalaryWorksheet!O33</f>
        <v>0</v>
      </c>
      <c r="K32" s="6">
        <f>SalaryWorksheet!P33</f>
        <v>0</v>
      </c>
      <c r="L32" s="15">
        <f>SUM(G32:K32)</f>
        <v>0</v>
      </c>
      <c r="M32" s="319"/>
    </row>
    <row r="33" spans="1:15" ht="13.5" customHeight="1">
      <c r="A33" s="207" t="str">
        <f>SalaryWorksheet!A34</f>
        <v>BC20</v>
      </c>
      <c r="B33" s="13" t="str">
        <f>SalaryWorksheet!B33</f>
        <v>GSR III NEW (NO NRT) Annual @ 100% FTE</v>
      </c>
      <c r="F33" s="6" t="str">
        <f>SalaryWorksheet!K34</f>
        <v>Benefits</v>
      </c>
      <c r="G33" s="6">
        <f>SalaryWorksheet!L34</f>
        <v>0</v>
      </c>
      <c r="H33" s="6">
        <f>SalaryWorksheet!M34</f>
        <v>0</v>
      </c>
      <c r="I33" s="6">
        <f>SalaryWorksheet!N34</f>
        <v>0</v>
      </c>
      <c r="J33" s="6">
        <f>SalaryWorksheet!O34</f>
        <v>0</v>
      </c>
      <c r="K33" s="6">
        <f>SalaryWorksheet!P34</f>
        <v>0</v>
      </c>
      <c r="L33" s="15">
        <f>SUM(G33:K33)</f>
        <v>0</v>
      </c>
      <c r="M33" s="343"/>
    </row>
    <row r="34" spans="1:15" ht="13.5" customHeight="1">
      <c r="F34" s="6" t="str">
        <f>SalaryWorksheet!K35</f>
        <v>Non-Resident GSR Fees</v>
      </c>
      <c r="G34" s="6">
        <f>SalaryWorksheet!L35</f>
        <v>0</v>
      </c>
      <c r="H34" s="6">
        <f>SalaryWorksheet!M35</f>
        <v>0</v>
      </c>
      <c r="I34" s="6">
        <f>SalaryWorksheet!N35</f>
        <v>0</v>
      </c>
      <c r="J34" s="6">
        <f>SalaryWorksheet!O35</f>
        <v>0</v>
      </c>
      <c r="K34" s="6">
        <f>SalaryWorksheet!P35</f>
        <v>0</v>
      </c>
      <c r="L34" s="15">
        <f>SUM(G34:K34)</f>
        <v>0</v>
      </c>
    </row>
    <row r="35" spans="1:15" ht="13.5" customHeight="1">
      <c r="B35" s="44"/>
      <c r="F35" s="6" t="str">
        <f>SalaryWorksheet!K36</f>
        <v>CA Resident GSR Fees</v>
      </c>
      <c r="G35" s="6">
        <f>SalaryWorksheet!L36</f>
        <v>0</v>
      </c>
      <c r="H35" s="6">
        <f>SalaryWorksheet!M36</f>
        <v>0</v>
      </c>
      <c r="I35" s="6">
        <f>SalaryWorksheet!N36</f>
        <v>0</v>
      </c>
      <c r="J35" s="6">
        <f>SalaryWorksheet!O36</f>
        <v>0</v>
      </c>
      <c r="K35" s="6">
        <f>SalaryWorksheet!P36</f>
        <v>0</v>
      </c>
      <c r="L35" s="15">
        <f>SUM(G35:K35)</f>
        <v>0</v>
      </c>
    </row>
    <row r="36" spans="1:15" ht="13.5" customHeight="1">
      <c r="B36" s="44"/>
    </row>
    <row r="37" spans="1:15" ht="13.5" customHeight="1">
      <c r="A37" s="207" t="str">
        <f>SalaryWorksheet!A42</f>
        <v>BC11</v>
      </c>
      <c r="B37" s="13" t="str">
        <f>SalaryWorksheet!B41</f>
        <v>Proposal Position #2, TBD</v>
      </c>
      <c r="F37" s="6" t="str">
        <f>SalaryWorksheet!K42</f>
        <v>Wages</v>
      </c>
      <c r="G37" s="6">
        <f>SalaryWorksheet!L42</f>
        <v>0</v>
      </c>
      <c r="H37" s="6">
        <f>SalaryWorksheet!M42</f>
        <v>0</v>
      </c>
      <c r="I37" s="6">
        <f>SalaryWorksheet!N42</f>
        <v>0</v>
      </c>
      <c r="J37" s="6">
        <f>SalaryWorksheet!O42</f>
        <v>0</v>
      </c>
      <c r="K37" s="6">
        <f>SalaryWorksheet!P42</f>
        <v>0</v>
      </c>
      <c r="L37" s="15">
        <f>SUM(G37:K37)</f>
        <v>0</v>
      </c>
    </row>
    <row r="38" spans="1:15" ht="13.5" customHeight="1">
      <c r="A38" s="207" t="str">
        <f>SalaryWorksheet!A43</f>
        <v>BC20</v>
      </c>
      <c r="B38" s="13" t="str">
        <f>SalaryWorksheet!B42</f>
        <v>GSR III NEW (NO NRT) Annual @ 100% FTE</v>
      </c>
      <c r="F38" s="6" t="str">
        <f>SalaryWorksheet!K43</f>
        <v>Benefits</v>
      </c>
      <c r="G38" s="6">
        <f>SalaryWorksheet!L43</f>
        <v>0</v>
      </c>
      <c r="H38" s="6">
        <f>SalaryWorksheet!M43</f>
        <v>0</v>
      </c>
      <c r="I38" s="6">
        <f>SalaryWorksheet!N43</f>
        <v>0</v>
      </c>
      <c r="J38" s="6">
        <f>SalaryWorksheet!O43</f>
        <v>0</v>
      </c>
      <c r="K38" s="6">
        <f>SalaryWorksheet!P43</f>
        <v>0</v>
      </c>
      <c r="L38" s="15">
        <f>SUM(G38:K38)</f>
        <v>0</v>
      </c>
    </row>
    <row r="39" spans="1:15" ht="13.5" customHeight="1">
      <c r="B39" s="44"/>
      <c r="F39" s="6" t="str">
        <f>SalaryWorksheet!K44</f>
        <v>Non-Resident GSR Fees</v>
      </c>
      <c r="G39" s="6">
        <f>SalaryWorksheet!L44</f>
        <v>0</v>
      </c>
      <c r="H39" s="6">
        <f>SalaryWorksheet!M44</f>
        <v>0</v>
      </c>
      <c r="I39" s="6">
        <f>SalaryWorksheet!N44</f>
        <v>0</v>
      </c>
      <c r="J39" s="6">
        <f>SalaryWorksheet!O44</f>
        <v>0</v>
      </c>
      <c r="K39" s="6">
        <f>SalaryWorksheet!P44</f>
        <v>0</v>
      </c>
      <c r="L39" s="15">
        <f>SUM(G39:K39)</f>
        <v>0</v>
      </c>
    </row>
    <row r="40" spans="1:15" ht="17.25" customHeight="1">
      <c r="B40" s="44"/>
      <c r="F40" s="6" t="str">
        <f>SalaryWorksheet!K45</f>
        <v>CA Resident GSR Fees</v>
      </c>
      <c r="G40" s="6">
        <f>SalaryWorksheet!L45</f>
        <v>0</v>
      </c>
      <c r="H40" s="6">
        <f>SalaryWorksheet!M45</f>
        <v>0</v>
      </c>
      <c r="I40" s="6">
        <f>SalaryWorksheet!N45</f>
        <v>0</v>
      </c>
      <c r="J40" s="6">
        <f>SalaryWorksheet!O45</f>
        <v>0</v>
      </c>
      <c r="K40" s="6">
        <f>SalaryWorksheet!P45</f>
        <v>0</v>
      </c>
      <c r="L40" s="15">
        <f>SUM(G40:K40)</f>
        <v>0</v>
      </c>
      <c r="N40" s="324"/>
    </row>
    <row r="41" spans="1:15" ht="3" customHeight="1">
      <c r="B41" s="41"/>
      <c r="C41" s="16"/>
      <c r="G41" s="39"/>
      <c r="H41" s="39"/>
      <c r="I41" s="39"/>
      <c r="J41" s="39"/>
      <c r="K41" s="39"/>
    </row>
    <row r="42" spans="1:15" ht="13.5" customHeight="1">
      <c r="A42" s="207" t="str">
        <f>SalaryWorksheet!A51</f>
        <v>BC11</v>
      </c>
      <c r="B42" s="13" t="str">
        <f>SalaryWorksheet!B50</f>
        <v>Proposal Position #3, TBD</v>
      </c>
      <c r="E42" s="113"/>
      <c r="F42" s="6" t="str">
        <f>SalaryWorksheet!K51</f>
        <v>Wages</v>
      </c>
      <c r="G42" s="6">
        <f>SalaryWorksheet!L51</f>
        <v>0</v>
      </c>
      <c r="H42" s="6">
        <f>SalaryWorksheet!M51</f>
        <v>0</v>
      </c>
      <c r="I42" s="6">
        <f>SalaryWorksheet!N51</f>
        <v>0</v>
      </c>
      <c r="J42" s="6">
        <f>SalaryWorksheet!O51</f>
        <v>0</v>
      </c>
      <c r="K42" s="6">
        <f>SalaryWorksheet!P51</f>
        <v>0</v>
      </c>
      <c r="L42" s="15">
        <f>SUM(G42:K42)</f>
        <v>0</v>
      </c>
    </row>
    <row r="43" spans="1:15" ht="13.5" customHeight="1">
      <c r="A43" s="207" t="str">
        <f>SalaryWorksheet!A52</f>
        <v>BC20</v>
      </c>
      <c r="B43" s="13" t="str">
        <f>SalaryWorksheet!B51</f>
        <v>GSR I NEW (NO NRT) Annual @ 100% FTE</v>
      </c>
      <c r="F43" s="6" t="str">
        <f>SalaryWorksheet!K52</f>
        <v>Benefits</v>
      </c>
      <c r="G43" s="6">
        <f>SalaryWorksheet!L52</f>
        <v>0</v>
      </c>
      <c r="H43" s="6">
        <f>SalaryWorksheet!M52</f>
        <v>0</v>
      </c>
      <c r="I43" s="6">
        <f>SalaryWorksheet!N52</f>
        <v>0</v>
      </c>
      <c r="J43" s="6">
        <f>SalaryWorksheet!O52</f>
        <v>0</v>
      </c>
      <c r="K43" s="6">
        <f>SalaryWorksheet!P52</f>
        <v>0</v>
      </c>
      <c r="L43" s="15">
        <f>SUM(G43:K43)</f>
        <v>0</v>
      </c>
    </row>
    <row r="44" spans="1:15" ht="13.5" customHeight="1">
      <c r="B44" s="32"/>
      <c r="F44" s="6" t="str">
        <f>SalaryWorksheet!K53</f>
        <v>Non-Resident GSR Fees</v>
      </c>
      <c r="G44" s="6">
        <f>SalaryWorksheet!L53</f>
        <v>0</v>
      </c>
      <c r="H44" s="6">
        <f>SalaryWorksheet!M53</f>
        <v>0</v>
      </c>
      <c r="I44" s="6">
        <f>SalaryWorksheet!N53</f>
        <v>0</v>
      </c>
      <c r="J44" s="6">
        <f>SalaryWorksheet!O53</f>
        <v>0</v>
      </c>
      <c r="K44" s="6">
        <f>SalaryWorksheet!P53</f>
        <v>0</v>
      </c>
      <c r="L44" s="15">
        <f>SUM(G44:K44)</f>
        <v>0</v>
      </c>
    </row>
    <row r="45" spans="1:15" ht="13.5" customHeight="1">
      <c r="B45" s="32"/>
      <c r="E45" s="14"/>
      <c r="F45" s="6" t="str">
        <f>SalaryWorksheet!K54</f>
        <v>CA Resident GSR Fees</v>
      </c>
      <c r="G45" s="6">
        <f>SalaryWorksheet!L54</f>
        <v>0</v>
      </c>
      <c r="H45" s="6">
        <f>SalaryWorksheet!M54</f>
        <v>0</v>
      </c>
      <c r="I45" s="6">
        <f>SalaryWorksheet!N54</f>
        <v>0</v>
      </c>
      <c r="J45" s="6">
        <f>SalaryWorksheet!O54</f>
        <v>0</v>
      </c>
      <c r="K45" s="6">
        <f>SalaryWorksheet!P54</f>
        <v>0</v>
      </c>
      <c r="L45" s="15">
        <f>SUM(G45:K45)</f>
        <v>0</v>
      </c>
      <c r="O45" s="325"/>
    </row>
    <row r="46" spans="1:15" s="25" customFormat="1" ht="13.5" customHeight="1">
      <c r="B46" s="32"/>
      <c r="C46" s="14"/>
      <c r="D46" s="10"/>
      <c r="E46" s="14"/>
      <c r="F46" s="14"/>
      <c r="G46" s="14"/>
      <c r="H46" s="14"/>
      <c r="I46" s="14"/>
      <c r="J46" s="14"/>
      <c r="K46" s="14"/>
      <c r="L46" s="31"/>
      <c r="M46" s="16"/>
      <c r="N46" s="325"/>
      <c r="O46" s="327"/>
    </row>
    <row r="47" spans="1:15" s="25" customFormat="1" ht="13.5" customHeight="1">
      <c r="A47" s="207" t="str">
        <f>SalaryWorksheet!A60</f>
        <v>BC28</v>
      </c>
      <c r="B47" s="13" t="str">
        <f>SalaryWorksheet!B59</f>
        <v>Proposal Position #4, TBD</v>
      </c>
      <c r="C47" s="14"/>
      <c r="D47" s="10"/>
      <c r="E47" s="14"/>
      <c r="F47" s="6" t="str">
        <f>SalaryWorksheet!K60</f>
        <v>Wages</v>
      </c>
      <c r="G47" s="6">
        <f>SalaryWorksheet!L60</f>
        <v>0</v>
      </c>
      <c r="H47" s="6">
        <f>SalaryWorksheet!M60</f>
        <v>0</v>
      </c>
      <c r="I47" s="6">
        <f>SalaryWorksheet!N60</f>
        <v>0</v>
      </c>
      <c r="J47" s="6">
        <f>SalaryWorksheet!O60</f>
        <v>0</v>
      </c>
      <c r="K47" s="6">
        <f>SalaryWorksheet!P60</f>
        <v>0</v>
      </c>
      <c r="L47" s="15">
        <f>SUM(G47:K47)</f>
        <v>0</v>
      </c>
      <c r="M47" s="16"/>
      <c r="N47" s="325"/>
      <c r="O47" s="327"/>
    </row>
    <row r="48" spans="1:15" s="25" customFormat="1" ht="13.5" customHeight="1">
      <c r="A48" s="207" t="str">
        <f>SalaryWorksheet!A61</f>
        <v>BC30</v>
      </c>
      <c r="B48" s="13" t="str">
        <f>SalaryWorksheet!B60</f>
        <v>LAB ASSISTANT II- Step 1.0, TC 9603/Non-Exempt</v>
      </c>
      <c r="C48" s="14"/>
      <c r="D48" s="10"/>
      <c r="E48" s="14"/>
      <c r="F48" s="6" t="str">
        <f>SalaryWorksheet!K61</f>
        <v>Benefits</v>
      </c>
      <c r="G48" s="6">
        <f>SalaryWorksheet!L61</f>
        <v>0</v>
      </c>
      <c r="H48" s="6">
        <f>SalaryWorksheet!M61</f>
        <v>0</v>
      </c>
      <c r="I48" s="6">
        <f>SalaryWorksheet!N61</f>
        <v>0</v>
      </c>
      <c r="J48" s="6">
        <f>SalaryWorksheet!O61</f>
        <v>0</v>
      </c>
      <c r="K48" s="6">
        <f>SalaryWorksheet!P61</f>
        <v>0</v>
      </c>
      <c r="L48" s="15">
        <f>SUM(G48:K48)</f>
        <v>0</v>
      </c>
      <c r="M48" s="16"/>
      <c r="N48" s="325"/>
      <c r="O48" s="327"/>
    </row>
    <row r="49" spans="1:15" s="25" customFormat="1" ht="13.5" customHeight="1">
      <c r="B49" s="32"/>
      <c r="C49" s="14"/>
      <c r="D49" s="10"/>
      <c r="E49" s="14"/>
      <c r="F49" s="6" t="str">
        <f>SalaryWorksheet!K62</f>
        <v>Non-Resident GSR Fees</v>
      </c>
      <c r="G49" s="6">
        <f>SalaryWorksheet!L62</f>
        <v>0</v>
      </c>
      <c r="H49" s="6">
        <f>SalaryWorksheet!M62</f>
        <v>0</v>
      </c>
      <c r="I49" s="6">
        <f>SalaryWorksheet!N62</f>
        <v>0</v>
      </c>
      <c r="J49" s="6">
        <f>SalaryWorksheet!O62</f>
        <v>0</v>
      </c>
      <c r="K49" s="6">
        <f>SalaryWorksheet!P62</f>
        <v>0</v>
      </c>
      <c r="L49" s="15">
        <f>SUM(G49:K49)</f>
        <v>0</v>
      </c>
      <c r="M49" s="16"/>
      <c r="N49" s="325"/>
      <c r="O49" s="327"/>
    </row>
    <row r="50" spans="1:15" s="25" customFormat="1" ht="13.5" customHeight="1">
      <c r="B50" s="32"/>
      <c r="C50" s="14"/>
      <c r="D50" s="10"/>
      <c r="E50" s="14"/>
      <c r="F50" s="6" t="str">
        <f>SalaryWorksheet!K63</f>
        <v>CA Resident GSR Fees</v>
      </c>
      <c r="G50" s="6">
        <f>SalaryWorksheet!L63</f>
        <v>0</v>
      </c>
      <c r="H50" s="6">
        <f>SalaryWorksheet!M63</f>
        <v>0</v>
      </c>
      <c r="I50" s="6">
        <f>SalaryWorksheet!N63</f>
        <v>0</v>
      </c>
      <c r="J50" s="6">
        <f>SalaryWorksheet!O63</f>
        <v>0</v>
      </c>
      <c r="K50" s="6">
        <f>SalaryWorksheet!P63</f>
        <v>0</v>
      </c>
      <c r="L50" s="15">
        <f>SUM(G50:K50)</f>
        <v>0</v>
      </c>
      <c r="M50" s="16"/>
      <c r="N50" s="325"/>
      <c r="O50" s="327"/>
    </row>
    <row r="51" spans="1:15" s="25" customFormat="1" ht="13.5" customHeight="1">
      <c r="B51" s="32"/>
      <c r="C51" s="14"/>
      <c r="D51" s="10"/>
      <c r="E51" s="14"/>
      <c r="F51" s="6"/>
      <c r="G51" s="6"/>
      <c r="H51" s="6"/>
      <c r="I51" s="6"/>
      <c r="J51" s="6"/>
      <c r="K51" s="6"/>
      <c r="L51" s="15"/>
      <c r="M51" s="16"/>
      <c r="N51" s="325"/>
      <c r="O51" s="327"/>
    </row>
    <row r="52" spans="1:15" s="25" customFormat="1" ht="13.5" customHeight="1">
      <c r="A52" s="207" t="str">
        <f>SalaryWorksheet!A69</f>
        <v>BC28</v>
      </c>
      <c r="B52" s="13" t="str">
        <f>SalaryWorksheet!B68</f>
        <v>Proposal Position #5, TBD</v>
      </c>
      <c r="C52" s="14"/>
      <c r="D52" s="10"/>
      <c r="E52" s="14"/>
      <c r="F52" s="6" t="str">
        <f>SalaryWorksheet!K69</f>
        <v>Wages</v>
      </c>
      <c r="G52" s="6">
        <f>SalaryWorksheet!L69</f>
        <v>0</v>
      </c>
      <c r="H52" s="6">
        <f>SalaryWorksheet!M69</f>
        <v>0</v>
      </c>
      <c r="I52" s="6">
        <f>SalaryWorksheet!N69</f>
        <v>0</v>
      </c>
      <c r="J52" s="6">
        <f>SalaryWorksheet!O69</f>
        <v>0</v>
      </c>
      <c r="K52" s="6">
        <f>SalaryWorksheet!P69</f>
        <v>0</v>
      </c>
      <c r="L52" s="15">
        <f>SUM(G52:K52)</f>
        <v>0</v>
      </c>
      <c r="M52" s="16"/>
      <c r="N52" s="325"/>
      <c r="O52" s="327"/>
    </row>
    <row r="53" spans="1:15" s="25" customFormat="1" ht="13.5" customHeight="1">
      <c r="A53" s="207" t="str">
        <f>SalaryWorksheet!A70</f>
        <v>BC30</v>
      </c>
      <c r="B53" s="13" t="str">
        <f>SalaryWorksheet!B69</f>
        <v>LAB ASSISTANT II- Step 1.0, TC 9603/Non-Exempt</v>
      </c>
      <c r="C53" s="14"/>
      <c r="D53" s="10"/>
      <c r="E53" s="14"/>
      <c r="F53" s="6" t="str">
        <f>SalaryWorksheet!K70</f>
        <v>Benefits</v>
      </c>
      <c r="G53" s="6">
        <f>SalaryWorksheet!L70</f>
        <v>0</v>
      </c>
      <c r="H53" s="6">
        <f>SalaryWorksheet!M70</f>
        <v>0</v>
      </c>
      <c r="I53" s="6">
        <f>SalaryWorksheet!N70</f>
        <v>0</v>
      </c>
      <c r="J53" s="6">
        <f>SalaryWorksheet!O70</f>
        <v>0</v>
      </c>
      <c r="K53" s="6">
        <f>SalaryWorksheet!P70</f>
        <v>0</v>
      </c>
      <c r="L53" s="15">
        <f>SUM(G53:K53)</f>
        <v>0</v>
      </c>
      <c r="M53" s="16"/>
      <c r="N53" s="325"/>
      <c r="O53" s="327"/>
    </row>
    <row r="54" spans="1:15" s="25" customFormat="1" ht="13.5" customHeight="1">
      <c r="B54" s="32"/>
      <c r="C54" s="14"/>
      <c r="D54" s="10"/>
      <c r="E54" s="14"/>
      <c r="F54" s="6" t="str">
        <f>SalaryWorksheet!K71</f>
        <v>Non-Resident GSR Fees</v>
      </c>
      <c r="G54" s="6">
        <f>SalaryWorksheet!L71</f>
        <v>0</v>
      </c>
      <c r="H54" s="6">
        <f>SalaryWorksheet!M71</f>
        <v>0</v>
      </c>
      <c r="I54" s="6">
        <f>SalaryWorksheet!N71</f>
        <v>0</v>
      </c>
      <c r="J54" s="6">
        <f>SalaryWorksheet!O71</f>
        <v>0</v>
      </c>
      <c r="K54" s="6">
        <f>SalaryWorksheet!P71</f>
        <v>0</v>
      </c>
      <c r="L54" s="15">
        <f>SUM(G54:K54)</f>
        <v>0</v>
      </c>
      <c r="M54" s="16"/>
      <c r="N54" s="325"/>
      <c r="O54" s="327"/>
    </row>
    <row r="55" spans="1:15" s="25" customFormat="1" ht="13.5" customHeight="1">
      <c r="B55" s="32"/>
      <c r="C55" s="14"/>
      <c r="D55" s="10"/>
      <c r="E55" s="14"/>
      <c r="F55" s="6" t="str">
        <f>SalaryWorksheet!K72</f>
        <v>CA Resident GSR Fees</v>
      </c>
      <c r="G55" s="6">
        <f>SalaryWorksheet!L72</f>
        <v>0</v>
      </c>
      <c r="H55" s="6">
        <f>SalaryWorksheet!M72</f>
        <v>0</v>
      </c>
      <c r="I55" s="6">
        <f>SalaryWorksheet!N72</f>
        <v>0</v>
      </c>
      <c r="J55" s="6">
        <f>SalaryWorksheet!O72</f>
        <v>0</v>
      </c>
      <c r="K55" s="6">
        <f>SalaryWorksheet!P72</f>
        <v>0</v>
      </c>
      <c r="L55" s="15">
        <f>SUM(G55:K55)</f>
        <v>0</v>
      </c>
      <c r="M55" s="16"/>
      <c r="N55" s="325"/>
      <c r="O55" s="327"/>
    </row>
    <row r="56" spans="1:15" s="25" customFormat="1" ht="13.5" customHeight="1">
      <c r="B56" s="32"/>
      <c r="C56" s="14"/>
      <c r="D56" s="10"/>
      <c r="E56" s="14"/>
      <c r="F56" s="6"/>
      <c r="G56" s="6"/>
      <c r="H56" s="6"/>
      <c r="I56" s="6"/>
      <c r="J56" s="6"/>
      <c r="K56" s="6"/>
      <c r="L56" s="15"/>
      <c r="M56" s="16"/>
      <c r="N56" s="325"/>
      <c r="O56" s="327"/>
    </row>
    <row r="57" spans="1:15" s="25" customFormat="1" ht="13.5" customHeight="1">
      <c r="A57" s="207" t="str">
        <f>SalaryWorksheet!A78</f>
        <v>BC28</v>
      </c>
      <c r="B57" s="13" t="str">
        <f>SalaryWorksheet!B77</f>
        <v>Proposal Position #6, TBD</v>
      </c>
      <c r="C57" s="14"/>
      <c r="D57" s="10"/>
      <c r="E57" s="14"/>
      <c r="F57" s="6" t="str">
        <f>SalaryWorksheet!K78</f>
        <v>Wages</v>
      </c>
      <c r="G57" s="6">
        <f>SalaryWorksheet!L78</f>
        <v>0</v>
      </c>
      <c r="H57" s="6">
        <f>SalaryWorksheet!M78</f>
        <v>0</v>
      </c>
      <c r="I57" s="6">
        <f>SalaryWorksheet!N78</f>
        <v>0</v>
      </c>
      <c r="J57" s="6">
        <f>SalaryWorksheet!O78</f>
        <v>0</v>
      </c>
      <c r="K57" s="6">
        <f>SalaryWorksheet!P78</f>
        <v>0</v>
      </c>
      <c r="L57" s="15">
        <f>SUM(G57:K57)</f>
        <v>0</v>
      </c>
      <c r="M57" s="16"/>
      <c r="N57" s="325"/>
      <c r="O57" s="327"/>
    </row>
    <row r="58" spans="1:15" s="25" customFormat="1" ht="13.5" customHeight="1">
      <c r="A58" s="207" t="str">
        <f>SalaryWorksheet!A79</f>
        <v>BC30</v>
      </c>
      <c r="B58" s="13" t="str">
        <f>SalaryWorksheet!B78</f>
        <v>LAB HELPER-TC 9606/Non-Exempt Step VII</v>
      </c>
      <c r="C58" s="14"/>
      <c r="D58" s="10"/>
      <c r="E58" s="14"/>
      <c r="F58" s="6" t="str">
        <f>SalaryWorksheet!K79</f>
        <v>Benefits</v>
      </c>
      <c r="G58" s="6">
        <f>SalaryWorksheet!L79</f>
        <v>0</v>
      </c>
      <c r="H58" s="6">
        <f>SalaryWorksheet!M79</f>
        <v>0</v>
      </c>
      <c r="I58" s="6">
        <f>SalaryWorksheet!N79</f>
        <v>0</v>
      </c>
      <c r="J58" s="6">
        <f>SalaryWorksheet!O79</f>
        <v>0</v>
      </c>
      <c r="K58" s="6">
        <f>SalaryWorksheet!P79</f>
        <v>0</v>
      </c>
      <c r="L58" s="15">
        <f>SUM(G58:K58)</f>
        <v>0</v>
      </c>
      <c r="M58" s="16"/>
      <c r="N58" s="325"/>
      <c r="O58" s="327"/>
    </row>
    <row r="59" spans="1:15" s="25" customFormat="1" ht="13.5" customHeight="1">
      <c r="B59" s="32"/>
      <c r="C59" s="14"/>
      <c r="D59" s="10"/>
      <c r="E59" s="14"/>
      <c r="F59" s="6" t="str">
        <f>SalaryWorksheet!K80</f>
        <v>Non-Resident GSR Fees</v>
      </c>
      <c r="G59" s="6">
        <f>SalaryWorksheet!L80</f>
        <v>0</v>
      </c>
      <c r="H59" s="6">
        <f>SalaryWorksheet!M80</f>
        <v>0</v>
      </c>
      <c r="I59" s="6">
        <f>SalaryWorksheet!N80</f>
        <v>0</v>
      </c>
      <c r="J59" s="6">
        <f>SalaryWorksheet!O80</f>
        <v>0</v>
      </c>
      <c r="K59" s="6">
        <f>SalaryWorksheet!P80</f>
        <v>0</v>
      </c>
      <c r="L59" s="15">
        <f>SUM(G59:K59)</f>
        <v>0</v>
      </c>
      <c r="M59" s="16"/>
      <c r="N59" s="325"/>
      <c r="O59" s="327"/>
    </row>
    <row r="60" spans="1:15" s="25" customFormat="1" ht="13.5" customHeight="1">
      <c r="B60" s="32"/>
      <c r="C60" s="14"/>
      <c r="D60" s="10"/>
      <c r="E60" s="14"/>
      <c r="F60" s="6" t="str">
        <f>SalaryWorksheet!K81</f>
        <v>CA Resident GSR Fees</v>
      </c>
      <c r="G60" s="6">
        <f>SalaryWorksheet!L81</f>
        <v>0</v>
      </c>
      <c r="H60" s="6">
        <f>SalaryWorksheet!M81</f>
        <v>0</v>
      </c>
      <c r="I60" s="6">
        <f>SalaryWorksheet!N81</f>
        <v>0</v>
      </c>
      <c r="J60" s="6">
        <f>SalaryWorksheet!O81</f>
        <v>0</v>
      </c>
      <c r="K60" s="6">
        <f>SalaryWorksheet!P81</f>
        <v>0</v>
      </c>
      <c r="L60" s="15">
        <f>SUM(G60:K60)</f>
        <v>0</v>
      </c>
      <c r="M60" s="16"/>
      <c r="N60" s="325"/>
      <c r="O60" s="327"/>
    </row>
    <row r="61" spans="1:15" s="25" customFormat="1" ht="13.5" customHeight="1">
      <c r="B61" s="32"/>
      <c r="C61" s="14"/>
      <c r="D61" s="10"/>
      <c r="E61" s="14"/>
      <c r="F61" s="6"/>
      <c r="G61" s="6"/>
      <c r="H61" s="6"/>
      <c r="I61" s="6"/>
      <c r="J61" s="6"/>
      <c r="K61" s="6"/>
      <c r="L61" s="15"/>
      <c r="M61" s="16"/>
      <c r="N61" s="325"/>
      <c r="O61" s="327"/>
    </row>
    <row r="62" spans="1:15" s="25" customFormat="1" ht="13.5" customHeight="1">
      <c r="B62" s="32"/>
      <c r="C62" s="14"/>
      <c r="D62" s="10"/>
      <c r="E62" s="14"/>
      <c r="F62" s="6"/>
      <c r="G62" s="6"/>
      <c r="H62" s="6"/>
      <c r="I62" s="6"/>
      <c r="J62" s="6"/>
      <c r="K62" s="6"/>
      <c r="L62" s="15"/>
      <c r="M62" s="16"/>
      <c r="N62" s="325"/>
      <c r="O62" s="327"/>
    </row>
    <row r="63" spans="1:15" s="25" customFormat="1" ht="13.5" customHeight="1">
      <c r="B63" s="150"/>
      <c r="C63" s="151"/>
      <c r="D63" s="4"/>
      <c r="E63" s="151"/>
      <c r="F63" s="5" t="s">
        <v>91</v>
      </c>
      <c r="G63" s="5">
        <f t="shared" ref="G63:K64" si="0">G15+G18+G21+G24+G27+G32+G37+G42+G47+G52+G57</f>
        <v>0</v>
      </c>
      <c r="H63" s="5">
        <f t="shared" si="0"/>
        <v>0</v>
      </c>
      <c r="I63" s="5">
        <f t="shared" si="0"/>
        <v>0</v>
      </c>
      <c r="J63" s="5">
        <f t="shared" si="0"/>
        <v>0</v>
      </c>
      <c r="K63" s="5">
        <f t="shared" si="0"/>
        <v>0</v>
      </c>
      <c r="L63" s="36">
        <f>SUM(G63:K63)</f>
        <v>0</v>
      </c>
      <c r="M63" s="16"/>
      <c r="N63" s="325"/>
      <c r="O63" s="327"/>
    </row>
    <row r="64" spans="1:15" s="25" customFormat="1" ht="13.5" customHeight="1">
      <c r="B64" s="32"/>
      <c r="C64" s="14"/>
      <c r="D64" s="10"/>
      <c r="E64" s="14"/>
      <c r="F64" s="6" t="s">
        <v>92</v>
      </c>
      <c r="G64" s="6">
        <f t="shared" si="0"/>
        <v>0</v>
      </c>
      <c r="H64" s="6">
        <f t="shared" si="0"/>
        <v>0</v>
      </c>
      <c r="I64" s="6">
        <f t="shared" si="0"/>
        <v>0</v>
      </c>
      <c r="J64" s="6">
        <f t="shared" si="0"/>
        <v>0</v>
      </c>
      <c r="K64" s="6">
        <f t="shared" si="0"/>
        <v>0</v>
      </c>
      <c r="L64" s="15">
        <f>SUM(G64:K64)</f>
        <v>0</v>
      </c>
      <c r="M64" s="16"/>
      <c r="N64" s="325"/>
      <c r="O64" s="327"/>
    </row>
    <row r="65" spans="1:15" s="25" customFormat="1" ht="13.5" customHeight="1">
      <c r="B65" s="32"/>
      <c r="C65" s="14"/>
      <c r="D65" s="10"/>
      <c r="E65" s="14"/>
      <c r="F65" s="263" t="s">
        <v>93</v>
      </c>
      <c r="G65" s="263">
        <f>SUM(G63:G64)</f>
        <v>0</v>
      </c>
      <c r="H65" s="263">
        <f>SUM(H63:H64)</f>
        <v>0</v>
      </c>
      <c r="I65" s="263">
        <f>SUM(I63:I64)</f>
        <v>0</v>
      </c>
      <c r="J65" s="263">
        <f>SUM(J63:J64)</f>
        <v>0</v>
      </c>
      <c r="K65" s="263">
        <f>SUM(K63:K64)</f>
        <v>0</v>
      </c>
      <c r="L65" s="31">
        <f>SUM(G65:K65)</f>
        <v>0</v>
      </c>
      <c r="M65" s="16"/>
      <c r="N65" s="325"/>
      <c r="O65" s="327"/>
    </row>
    <row r="66" spans="1:15" s="25" customFormat="1" ht="13.5" customHeight="1">
      <c r="A66" s="1" t="s">
        <v>94</v>
      </c>
      <c r="B66" s="19"/>
      <c r="C66" s="20"/>
      <c r="D66" s="20"/>
      <c r="E66" s="20"/>
      <c r="F66" s="35" t="s">
        <v>95</v>
      </c>
      <c r="G66" s="20">
        <f>G34+G35+G39+G40+G44+G45+G49+G50+G54+G55+G59+G60</f>
        <v>0</v>
      </c>
      <c r="H66" s="20">
        <f>H34+H35+H39+H40+H44+H45+H49+H50+H54+H55+H59+H60</f>
        <v>0</v>
      </c>
      <c r="I66" s="20">
        <f>I34+I35+I39+I40+I44+I45+I49+I50+I54+I55+I59+I60</f>
        <v>0</v>
      </c>
      <c r="J66" s="20">
        <f>J34+J35+J39+J40+J44+J45+J49+J50+J54+J55+J59+J60</f>
        <v>0</v>
      </c>
      <c r="K66" s="20">
        <f>K34+K35+K39+K40+K44+K45+K49+K50+K54+K55+K59+K60</f>
        <v>0</v>
      </c>
      <c r="L66" s="22">
        <f t="shared" ref="L66:L71" si="1">SUM(G66:K66)</f>
        <v>0</v>
      </c>
      <c r="M66" s="16"/>
      <c r="N66" s="325"/>
      <c r="O66" s="328"/>
    </row>
    <row r="67" spans="1:15">
      <c r="A67" s="1" t="s">
        <v>96</v>
      </c>
      <c r="B67" s="32" t="s">
        <v>97</v>
      </c>
      <c r="C67" s="14"/>
      <c r="D67" s="10" t="s">
        <v>98</v>
      </c>
      <c r="E67" s="193"/>
      <c r="F67" s="40"/>
      <c r="G67" s="191"/>
      <c r="H67" s="191"/>
      <c r="I67" s="191"/>
      <c r="J67" s="191"/>
      <c r="K67" s="163"/>
      <c r="L67" s="15">
        <f t="shared" si="1"/>
        <v>0</v>
      </c>
      <c r="O67" s="344" t="str">
        <f>IF(AND(G67,G68,G69,G70&lt;5000, G67,G68,G69,G70&gt;0), "ERROR EQ YR 3", " ")</f>
        <v xml:space="preserve"> </v>
      </c>
    </row>
    <row r="68" spans="1:15">
      <c r="B68" s="32"/>
      <c r="C68" s="14"/>
      <c r="D68" s="10" t="s">
        <v>99</v>
      </c>
      <c r="E68" s="193"/>
      <c r="F68" s="40"/>
      <c r="G68" s="191"/>
      <c r="H68" s="191"/>
      <c r="I68" s="191"/>
      <c r="J68" s="191"/>
      <c r="K68" s="30"/>
      <c r="L68" s="15">
        <f t="shared" si="1"/>
        <v>0</v>
      </c>
      <c r="O68" s="328"/>
    </row>
    <row r="69" spans="1:15">
      <c r="B69" s="32"/>
      <c r="C69" s="14"/>
      <c r="D69" s="10" t="s">
        <v>100</v>
      </c>
      <c r="E69" s="193"/>
      <c r="F69" s="40"/>
      <c r="G69" s="191"/>
      <c r="H69" s="191"/>
      <c r="I69" s="191"/>
      <c r="J69" s="191"/>
      <c r="K69" s="30"/>
      <c r="L69" s="15">
        <f t="shared" si="1"/>
        <v>0</v>
      </c>
      <c r="O69" s="344" t="str">
        <f>IF(AND(G71&lt;5000, G71&gt;0), "ERROR EQ YR 1", " ")</f>
        <v xml:space="preserve"> </v>
      </c>
    </row>
    <row r="70" spans="1:15">
      <c r="B70" s="32"/>
      <c r="C70" s="14"/>
      <c r="D70" s="10" t="s">
        <v>101</v>
      </c>
      <c r="E70" s="193"/>
      <c r="F70" s="40"/>
      <c r="G70" s="191"/>
      <c r="H70" s="191"/>
      <c r="I70" s="191"/>
      <c r="J70" s="191"/>
      <c r="K70" s="193"/>
      <c r="L70" s="15">
        <f t="shared" si="1"/>
        <v>0</v>
      </c>
      <c r="O70" s="344" t="str">
        <f>IF(AND(H71&lt;5000, H71&gt;0), "ERROR EQ YR 2", " ")</f>
        <v xml:space="preserve"> </v>
      </c>
    </row>
    <row r="71" spans="1:15">
      <c r="B71" s="32"/>
      <c r="C71" s="14"/>
      <c r="F71" s="192"/>
      <c r="G71" s="42">
        <f>SUM(G67:G70)</f>
        <v>0</v>
      </c>
      <c r="H71" s="42">
        <f>SUM(H67:H70)</f>
        <v>0</v>
      </c>
      <c r="I71" s="42">
        <f>SUM(I67:I70)</f>
        <v>0</v>
      </c>
      <c r="J71" s="42">
        <f>SUM(J67:J70)</f>
        <v>0</v>
      </c>
      <c r="K71" s="42">
        <f>SUM(K67:K70)</f>
        <v>0</v>
      </c>
      <c r="L71" s="31">
        <f t="shared" si="1"/>
        <v>0</v>
      </c>
      <c r="O71" s="344" t="str">
        <f>IF(AND(I71&lt;5000, I71&gt;0), "ERROR EQ YR 3", " ")</f>
        <v xml:space="preserve"> </v>
      </c>
    </row>
    <row r="72" spans="1:15" ht="13.5" customHeight="1">
      <c r="F72" s="192"/>
      <c r="L72" s="31"/>
      <c r="O72" s="344" t="str">
        <f>IF(AND(J71&lt;5000, J71&gt;0), "ERROR EQ YR 4", " ")</f>
        <v xml:space="preserve"> </v>
      </c>
    </row>
    <row r="73" spans="1:15" ht="13.5" customHeight="1">
      <c r="A73" s="1" t="s">
        <v>102</v>
      </c>
      <c r="B73" s="32" t="s">
        <v>103</v>
      </c>
      <c r="C73" s="14"/>
      <c r="D73" s="10" t="s">
        <v>98</v>
      </c>
      <c r="E73" s="193"/>
      <c r="F73" s="40"/>
      <c r="G73" s="191">
        <v>0</v>
      </c>
      <c r="H73" s="191"/>
      <c r="I73" s="191"/>
      <c r="J73" s="191"/>
      <c r="K73" s="30"/>
      <c r="L73" s="15">
        <f>SUM(G73:K73)</f>
        <v>0</v>
      </c>
      <c r="O73" s="344" t="str">
        <f>IF(AND(K71&lt;5000, K71&gt;0), "ERROR EQ YR 5", " ")</f>
        <v xml:space="preserve"> </v>
      </c>
    </row>
    <row r="74" spans="1:15" ht="13.5" customHeight="1">
      <c r="D74" s="10" t="s">
        <v>99</v>
      </c>
      <c r="E74" s="193"/>
      <c r="F74" s="40"/>
      <c r="G74" s="191"/>
      <c r="H74" s="191"/>
      <c r="I74" s="191"/>
      <c r="J74" s="191"/>
      <c r="K74" s="193"/>
      <c r="L74" s="15">
        <f>SUM(G74:K74)</f>
        <v>0</v>
      </c>
      <c r="O74" s="344"/>
    </row>
    <row r="75" spans="1:15" ht="13.5" customHeight="1">
      <c r="D75" s="10" t="s">
        <v>100</v>
      </c>
      <c r="E75" s="193"/>
      <c r="F75" s="40"/>
      <c r="G75" s="191"/>
      <c r="H75" s="191"/>
      <c r="I75" s="191"/>
      <c r="J75" s="191"/>
      <c r="K75" s="30"/>
      <c r="L75" s="15">
        <f>SUM(G75:K75)</f>
        <v>0</v>
      </c>
    </row>
    <row r="76" spans="1:15" ht="13.5" customHeight="1">
      <c r="B76" s="32"/>
      <c r="C76" s="1"/>
      <c r="E76" s="263" t="s">
        <v>104</v>
      </c>
      <c r="F76" s="192"/>
      <c r="G76" s="42">
        <f>SUM(G73:G75)</f>
        <v>0</v>
      </c>
      <c r="H76" s="42">
        <f>SUM(H73:H75)</f>
        <v>0</v>
      </c>
      <c r="I76" s="42">
        <f>SUM(I73:I75)</f>
        <v>0</v>
      </c>
      <c r="J76" s="42">
        <f>SUM(J73:J75)</f>
        <v>0</v>
      </c>
      <c r="K76" s="42">
        <f>SUM(K73:K75)</f>
        <v>0</v>
      </c>
      <c r="L76" s="31">
        <f>SUM(G76:K76)</f>
        <v>0</v>
      </c>
    </row>
    <row r="77" spans="1:15" ht="13.5" customHeight="1">
      <c r="L77" s="31"/>
    </row>
    <row r="78" spans="1:15">
      <c r="A78" s="1" t="s">
        <v>105</v>
      </c>
      <c r="B78" s="32" t="s">
        <v>106</v>
      </c>
      <c r="C78" s="14"/>
      <c r="D78" s="10" t="s">
        <v>98</v>
      </c>
      <c r="E78" s="10" t="s">
        <v>107</v>
      </c>
      <c r="G78" s="193"/>
      <c r="H78" s="193"/>
      <c r="I78" s="193"/>
      <c r="J78" s="193"/>
      <c r="K78" s="193"/>
      <c r="L78" s="15">
        <f>SUM(G78:K78)</f>
        <v>0</v>
      </c>
    </row>
    <row r="79" spans="1:15">
      <c r="D79" s="10" t="s">
        <v>99</v>
      </c>
      <c r="E79" s="10" t="s">
        <v>108</v>
      </c>
      <c r="G79" s="193"/>
      <c r="H79" s="193"/>
      <c r="I79" s="193"/>
      <c r="J79" s="193"/>
      <c r="K79" s="193"/>
      <c r="L79" s="15">
        <f>SUM(G79:K79)</f>
        <v>0</v>
      </c>
    </row>
    <row r="80" spans="1:15">
      <c r="B80" s="32" t="s">
        <v>109</v>
      </c>
      <c r="C80" s="14"/>
      <c r="G80" s="14">
        <f>SUM(G78:G79)</f>
        <v>0</v>
      </c>
      <c r="H80" s="14">
        <f>SUM(H78:H79)</f>
        <v>0</v>
      </c>
      <c r="I80" s="14">
        <f>SUM(I78:I79)</f>
        <v>0</v>
      </c>
      <c r="J80" s="14">
        <f>SUM(J78:J79)</f>
        <v>0</v>
      </c>
      <c r="K80" s="14">
        <f>SUM(K78:K79)</f>
        <v>0</v>
      </c>
      <c r="L80" s="31">
        <f>SUM(G80:K80)</f>
        <v>0</v>
      </c>
    </row>
    <row r="81" spans="1:15" ht="15" customHeight="1">
      <c r="L81" s="31"/>
    </row>
    <row r="82" spans="1:15" ht="15" customHeight="1">
      <c r="A82" s="1" t="s">
        <v>110</v>
      </c>
      <c r="B82" s="32" t="s">
        <v>111</v>
      </c>
      <c r="C82" s="14"/>
      <c r="G82" s="153"/>
      <c r="H82" s="193"/>
      <c r="I82" s="193"/>
      <c r="J82" s="193"/>
      <c r="K82" s="193"/>
      <c r="L82" s="31">
        <f>SUM(G82:K82)</f>
        <v>0</v>
      </c>
    </row>
    <row r="83" spans="1:15" ht="15" customHeight="1">
      <c r="B83" s="32"/>
      <c r="C83" s="14"/>
      <c r="L83" s="31"/>
    </row>
    <row r="84" spans="1:15" ht="13.5" customHeight="1">
      <c r="A84" s="1" t="s">
        <v>112</v>
      </c>
      <c r="B84" s="13" t="s">
        <v>113</v>
      </c>
      <c r="G84" s="193"/>
      <c r="H84" s="191"/>
      <c r="I84" s="191"/>
      <c r="J84" s="191"/>
      <c r="K84" s="193"/>
      <c r="L84" s="15">
        <f>SUM(G84:K84)</f>
        <v>0</v>
      </c>
    </row>
    <row r="85" spans="1:15" ht="13.5" customHeight="1">
      <c r="A85" s="1" t="s">
        <v>114</v>
      </c>
      <c r="B85" s="13" t="s">
        <v>115</v>
      </c>
      <c r="G85" s="193"/>
      <c r="H85" s="193"/>
      <c r="I85" s="193"/>
      <c r="J85" s="193"/>
      <c r="K85" s="193"/>
      <c r="L85" s="15">
        <f>SUM(G85:K85)</f>
        <v>0</v>
      </c>
    </row>
    <row r="86" spans="1:15" ht="13.5" customHeight="1">
      <c r="B86" s="32" t="s">
        <v>116</v>
      </c>
      <c r="C86" s="14"/>
      <c r="G86" s="42">
        <f>SUM(G84:G85)</f>
        <v>0</v>
      </c>
      <c r="H86" s="42">
        <f>SUM(H84:H85)</f>
        <v>0</v>
      </c>
      <c r="I86" s="42">
        <f>SUM(I84:I85)</f>
        <v>0</v>
      </c>
      <c r="J86" s="42">
        <f>SUM(J84:J85)</f>
        <v>0</v>
      </c>
      <c r="K86" s="42">
        <f>SUM(K84:K85)</f>
        <v>0</v>
      </c>
      <c r="L86" s="31">
        <f>SUM(G86:K86)</f>
        <v>0</v>
      </c>
    </row>
    <row r="87" spans="1:15" ht="13.5" customHeight="1">
      <c r="B87" s="32"/>
      <c r="C87" s="14"/>
      <c r="J87" s="10"/>
      <c r="K87" s="10"/>
      <c r="L87" s="31"/>
    </row>
    <row r="88" spans="1:15" ht="13.5" customHeight="1">
      <c r="B88" s="32" t="s">
        <v>117</v>
      </c>
      <c r="C88" s="14"/>
      <c r="G88" s="34"/>
      <c r="H88" s="34"/>
      <c r="J88" s="43"/>
      <c r="K88" s="43"/>
    </row>
    <row r="89" spans="1:15" ht="13.5" customHeight="1">
      <c r="B89" s="359" t="s">
        <v>118</v>
      </c>
      <c r="C89" s="360"/>
      <c r="D89" s="360"/>
      <c r="E89" s="360"/>
      <c r="G89" s="193"/>
      <c r="H89" s="193"/>
      <c r="I89" s="193"/>
      <c r="J89" s="193"/>
      <c r="K89" s="193"/>
    </row>
    <row r="90" spans="1:15" ht="13.5" customHeight="1">
      <c r="B90" s="32"/>
      <c r="C90" s="14"/>
      <c r="G90" s="34"/>
      <c r="H90" s="34"/>
      <c r="J90" s="43"/>
      <c r="K90" s="43"/>
      <c r="N90" s="319"/>
      <c r="O90" s="319"/>
    </row>
    <row r="91" spans="1:15" ht="13.5" customHeight="1">
      <c r="B91" s="44"/>
      <c r="C91" s="14"/>
      <c r="D91" s="10" t="s">
        <v>98</v>
      </c>
      <c r="E91" s="16" t="s">
        <v>119</v>
      </c>
      <c r="G91" s="193"/>
      <c r="H91" s="193"/>
      <c r="I91" s="193"/>
      <c r="J91" s="193"/>
      <c r="K91" s="193"/>
      <c r="L91" s="15">
        <f t="shared" ref="L91:L96" si="2">SUM(G91:K91)</f>
        <v>0</v>
      </c>
      <c r="N91" s="319"/>
      <c r="O91" s="319"/>
    </row>
    <row r="92" spans="1:15" ht="13.5" customHeight="1">
      <c r="C92" s="14"/>
      <c r="D92" s="10" t="s">
        <v>98</v>
      </c>
      <c r="E92" s="16" t="s">
        <v>120</v>
      </c>
      <c r="G92" s="193"/>
      <c r="H92" s="193"/>
      <c r="I92" s="193"/>
      <c r="J92" s="193"/>
      <c r="K92" s="193"/>
      <c r="L92" s="15">
        <f t="shared" si="2"/>
        <v>0</v>
      </c>
      <c r="N92" s="319"/>
      <c r="O92" s="319"/>
    </row>
    <row r="93" spans="1:15" ht="13.5" customHeight="1">
      <c r="B93" s="45"/>
      <c r="C93" s="46"/>
      <c r="D93" s="10" t="s">
        <v>99</v>
      </c>
      <c r="E93" s="16" t="s">
        <v>121</v>
      </c>
      <c r="G93" s="193"/>
      <c r="H93" s="193"/>
      <c r="I93" s="193"/>
      <c r="J93" s="193"/>
      <c r="K93" s="193"/>
      <c r="L93" s="15">
        <f t="shared" si="2"/>
        <v>0</v>
      </c>
      <c r="N93" s="319"/>
      <c r="O93" s="319"/>
    </row>
    <row r="94" spans="1:15" ht="13.5" customHeight="1">
      <c r="B94" s="32"/>
      <c r="C94" s="14"/>
      <c r="D94" s="10" t="s">
        <v>100</v>
      </c>
      <c r="E94" s="16" t="s">
        <v>122</v>
      </c>
      <c r="G94" s="193"/>
      <c r="H94" s="193"/>
      <c r="I94" s="193"/>
      <c r="J94" s="193"/>
      <c r="K94" s="193"/>
      <c r="L94" s="15">
        <f t="shared" si="2"/>
        <v>0</v>
      </c>
      <c r="N94" s="319"/>
      <c r="O94" s="319"/>
    </row>
    <row r="95" spans="1:15" ht="13.5" customHeight="1">
      <c r="B95" s="32"/>
      <c r="C95" s="14"/>
      <c r="D95" s="10" t="s">
        <v>101</v>
      </c>
      <c r="E95" s="16" t="s">
        <v>123</v>
      </c>
      <c r="G95" s="193"/>
      <c r="H95" s="193"/>
      <c r="I95" s="193"/>
      <c r="J95" s="193"/>
      <c r="K95" s="193"/>
      <c r="L95" s="15">
        <f t="shared" si="2"/>
        <v>0</v>
      </c>
      <c r="N95" s="319"/>
      <c r="O95" s="319"/>
    </row>
    <row r="96" spans="1:15" ht="13.5" customHeight="1">
      <c r="B96" s="32" t="s">
        <v>124</v>
      </c>
      <c r="C96" s="14"/>
      <c r="G96" s="14">
        <f>SUM(G91:G95)</f>
        <v>0</v>
      </c>
      <c r="H96" s="14">
        <f>SUM(H91:H95)</f>
        <v>0</v>
      </c>
      <c r="I96" s="14">
        <f>SUM(I91:I95)</f>
        <v>0</v>
      </c>
      <c r="J96" s="14">
        <f>SUM(J91:J95)</f>
        <v>0</v>
      </c>
      <c r="K96" s="14">
        <f>SUM(K91:K95)</f>
        <v>0</v>
      </c>
      <c r="L96" s="31">
        <f t="shared" si="2"/>
        <v>0</v>
      </c>
      <c r="N96" s="319"/>
      <c r="O96" s="319"/>
    </row>
    <row r="97" spans="1:15" ht="4.5" customHeight="1">
      <c r="J97" s="10"/>
      <c r="K97" s="10"/>
      <c r="N97" s="319"/>
      <c r="O97" s="319"/>
    </row>
    <row r="98" spans="1:15">
      <c r="B98" s="32" t="s">
        <v>125</v>
      </c>
      <c r="C98" s="14"/>
      <c r="J98" s="10"/>
      <c r="K98" s="10"/>
      <c r="L98" s="31"/>
      <c r="N98" s="319"/>
      <c r="O98" s="319"/>
    </row>
    <row r="99" spans="1:15">
      <c r="A99" s="1" t="s">
        <v>126</v>
      </c>
      <c r="B99" s="32" t="s">
        <v>127</v>
      </c>
      <c r="C99" s="14"/>
      <c r="E99" s="34"/>
      <c r="H99" s="34"/>
      <c r="J99" s="10"/>
      <c r="K99" s="10"/>
      <c r="L99" s="31"/>
      <c r="N99" s="319"/>
      <c r="O99" s="319"/>
    </row>
    <row r="100" spans="1:15">
      <c r="D100" s="33" t="s">
        <v>128</v>
      </c>
      <c r="E100" s="193"/>
      <c r="F100" s="16"/>
      <c r="G100" s="193"/>
      <c r="H100" s="193"/>
      <c r="I100" s="193"/>
      <c r="J100" s="193"/>
      <c r="K100" s="193"/>
      <c r="L100" s="15">
        <f>SUM(G100:K100)</f>
        <v>0</v>
      </c>
      <c r="N100" s="319"/>
      <c r="O100" s="319"/>
    </row>
    <row r="101" spans="1:15">
      <c r="D101" s="10" t="s">
        <v>99</v>
      </c>
      <c r="E101" s="193"/>
      <c r="F101" s="16"/>
      <c r="G101" s="193"/>
      <c r="H101" s="193"/>
      <c r="I101" s="193"/>
      <c r="J101" s="193"/>
      <c r="K101" s="193"/>
      <c r="L101" s="15">
        <f>SUM(G101:K101)</f>
        <v>0</v>
      </c>
      <c r="N101" s="319"/>
      <c r="O101" s="319"/>
    </row>
    <row r="102" spans="1:15">
      <c r="B102" s="32" t="s">
        <v>129</v>
      </c>
      <c r="C102" s="14"/>
      <c r="G102" s="14">
        <f>SUM(G100:G101)</f>
        <v>0</v>
      </c>
      <c r="H102" s="42">
        <f>SUM(H100:H101)</f>
        <v>0</v>
      </c>
      <c r="I102" s="14">
        <f>SUM(I100:I101)</f>
        <v>0</v>
      </c>
      <c r="J102" s="14">
        <f>SUM(J100:J101)</f>
        <v>0</v>
      </c>
      <c r="K102" s="14">
        <f>SUM(K100:K101)</f>
        <v>0</v>
      </c>
      <c r="L102" s="31">
        <f>SUM(G102:K102)</f>
        <v>0</v>
      </c>
      <c r="N102" s="319"/>
      <c r="O102" s="319"/>
    </row>
    <row r="103" spans="1:15">
      <c r="B103" s="32"/>
      <c r="C103" s="14"/>
      <c r="J103" s="10"/>
      <c r="K103" s="10"/>
      <c r="L103" s="31"/>
      <c r="N103" s="319"/>
      <c r="O103" s="319"/>
    </row>
    <row r="104" spans="1:15">
      <c r="A104" s="1" t="s">
        <v>130</v>
      </c>
      <c r="B104" s="32" t="s">
        <v>131</v>
      </c>
      <c r="C104" s="14"/>
      <c r="J104" s="10"/>
      <c r="K104" s="10"/>
      <c r="L104" s="31"/>
      <c r="N104" s="319"/>
      <c r="O104" s="319"/>
    </row>
    <row r="105" spans="1:15">
      <c r="D105" s="33" t="s">
        <v>98</v>
      </c>
      <c r="E105" s="193"/>
      <c r="F105" s="16"/>
      <c r="G105" s="193"/>
      <c r="H105" s="193"/>
      <c r="I105" s="193"/>
      <c r="J105" s="193"/>
      <c r="K105" s="193"/>
      <c r="L105" s="15">
        <f t="shared" ref="L105:L112" si="3">SUM(G105:K105)</f>
        <v>0</v>
      </c>
      <c r="N105" s="319"/>
      <c r="O105" s="319"/>
    </row>
    <row r="106" spans="1:15">
      <c r="D106" s="10" t="s">
        <v>99</v>
      </c>
      <c r="E106" s="193"/>
      <c r="F106" s="16"/>
      <c r="G106" s="193"/>
      <c r="H106" s="193"/>
      <c r="I106" s="193"/>
      <c r="J106" s="193"/>
      <c r="K106" s="193"/>
      <c r="L106" s="15">
        <f t="shared" si="3"/>
        <v>0</v>
      </c>
    </row>
    <row r="107" spans="1:15">
      <c r="D107" s="10" t="s">
        <v>100</v>
      </c>
      <c r="E107" s="193"/>
      <c r="F107" s="16"/>
      <c r="G107" s="193"/>
      <c r="H107" s="193"/>
      <c r="I107" s="193"/>
      <c r="J107" s="193"/>
      <c r="K107" s="193"/>
      <c r="L107" s="15">
        <f t="shared" si="3"/>
        <v>0</v>
      </c>
    </row>
    <row r="108" spans="1:15">
      <c r="D108" s="10" t="s">
        <v>101</v>
      </c>
      <c r="E108" s="193"/>
      <c r="F108" s="16"/>
      <c r="G108" s="193"/>
      <c r="H108" s="193"/>
      <c r="I108" s="193"/>
      <c r="J108" s="193"/>
      <c r="K108" s="193"/>
      <c r="L108" s="15">
        <f t="shared" si="3"/>
        <v>0</v>
      </c>
    </row>
    <row r="109" spans="1:15">
      <c r="D109" s="10" t="s">
        <v>132</v>
      </c>
      <c r="E109" s="193"/>
      <c r="F109" s="16"/>
      <c r="G109" s="193"/>
      <c r="H109" s="193"/>
      <c r="I109" s="193"/>
      <c r="J109" s="193"/>
      <c r="K109" s="193"/>
      <c r="L109" s="15">
        <f t="shared" si="3"/>
        <v>0</v>
      </c>
    </row>
    <row r="110" spans="1:15">
      <c r="D110" s="10" t="s">
        <v>133</v>
      </c>
      <c r="E110" s="193"/>
      <c r="F110" s="16"/>
      <c r="G110" s="193"/>
      <c r="H110" s="193"/>
      <c r="I110" s="193"/>
      <c r="J110" s="193"/>
      <c r="K110" s="193"/>
      <c r="L110" s="15">
        <f t="shared" si="3"/>
        <v>0</v>
      </c>
    </row>
    <row r="111" spans="1:15">
      <c r="D111" s="10" t="s">
        <v>134</v>
      </c>
      <c r="E111" s="193"/>
      <c r="F111" s="16"/>
      <c r="G111" s="193"/>
      <c r="H111" s="193"/>
      <c r="I111" s="193"/>
      <c r="J111" s="193"/>
      <c r="K111" s="193"/>
      <c r="L111" s="15">
        <f t="shared" si="3"/>
        <v>0</v>
      </c>
    </row>
    <row r="112" spans="1:15">
      <c r="B112" s="32" t="s">
        <v>135</v>
      </c>
      <c r="C112" s="14"/>
      <c r="G112" s="42">
        <f>SUM(G105:G111)</f>
        <v>0</v>
      </c>
      <c r="H112" s="42">
        <f>SUM(H105:H111)</f>
        <v>0</v>
      </c>
      <c r="I112" s="42">
        <f>SUM(I105:I111)</f>
        <v>0</v>
      </c>
      <c r="J112" s="42">
        <f>SUM(J105:J111)</f>
        <v>0</v>
      </c>
      <c r="K112" s="42">
        <f>SUM(K105:K111)</f>
        <v>0</v>
      </c>
      <c r="L112" s="31">
        <f t="shared" si="3"/>
        <v>0</v>
      </c>
    </row>
    <row r="113" spans="1:15" ht="13.5" customHeight="1">
      <c r="E113" s="34"/>
      <c r="L113" s="31"/>
    </row>
    <row r="114" spans="1:15">
      <c r="A114" s="1" t="s">
        <v>136</v>
      </c>
      <c r="B114" s="32" t="s">
        <v>137</v>
      </c>
      <c r="C114" s="14"/>
      <c r="D114" s="33" t="s">
        <v>98</v>
      </c>
      <c r="E114" s="193"/>
      <c r="F114" s="16"/>
      <c r="G114" s="193" t="s">
        <v>70</v>
      </c>
      <c r="H114" s="193"/>
      <c r="I114" s="193"/>
      <c r="J114" s="193"/>
      <c r="K114" s="193"/>
      <c r="L114" s="15">
        <f t="shared" ref="L114:L121" si="4">SUM(G114:K114)</f>
        <v>0</v>
      </c>
      <c r="N114" s="344"/>
    </row>
    <row r="115" spans="1:15">
      <c r="B115" s="32"/>
      <c r="C115" s="14"/>
      <c r="D115" s="10" t="s">
        <v>99</v>
      </c>
      <c r="E115" s="193"/>
      <c r="F115" s="16"/>
      <c r="G115" s="193"/>
      <c r="H115" s="193"/>
      <c r="I115" s="193"/>
      <c r="J115" s="193"/>
      <c r="K115" s="193"/>
      <c r="L115" s="15">
        <f t="shared" si="4"/>
        <v>0</v>
      </c>
      <c r="N115" s="344"/>
    </row>
    <row r="116" spans="1:15">
      <c r="B116" s="32"/>
      <c r="C116" s="14"/>
      <c r="D116" s="10" t="s">
        <v>100</v>
      </c>
      <c r="E116" s="193"/>
      <c r="F116" s="16"/>
      <c r="G116" s="193"/>
      <c r="H116" s="193"/>
      <c r="I116" s="193"/>
      <c r="J116" s="193"/>
      <c r="K116" s="193"/>
      <c r="L116" s="15">
        <f t="shared" si="4"/>
        <v>0</v>
      </c>
      <c r="N116" s="344"/>
    </row>
    <row r="117" spans="1:15" ht="13.5" customHeight="1">
      <c r="D117" s="10" t="s">
        <v>101</v>
      </c>
      <c r="E117" s="193"/>
      <c r="F117" s="16"/>
      <c r="G117" s="193"/>
      <c r="H117" s="193"/>
      <c r="I117" s="193"/>
      <c r="J117" s="193"/>
      <c r="K117" s="193"/>
      <c r="L117" s="15">
        <f t="shared" si="4"/>
        <v>0</v>
      </c>
      <c r="N117" s="344"/>
    </row>
    <row r="118" spans="1:15" ht="13.5" customHeight="1">
      <c r="D118" s="10" t="s">
        <v>132</v>
      </c>
      <c r="E118" s="193"/>
      <c r="F118" s="16"/>
      <c r="G118" s="193"/>
      <c r="H118" s="193"/>
      <c r="I118" s="193"/>
      <c r="J118" s="193"/>
      <c r="K118" s="193"/>
      <c r="L118" s="15">
        <f t="shared" si="4"/>
        <v>0</v>
      </c>
      <c r="N118" s="344"/>
    </row>
    <row r="119" spans="1:15">
      <c r="D119" s="10" t="s">
        <v>133</v>
      </c>
      <c r="E119" s="193"/>
      <c r="F119" s="16"/>
      <c r="G119" s="193"/>
      <c r="H119" s="193"/>
      <c r="I119" s="193"/>
      <c r="J119" s="193"/>
      <c r="K119" s="193"/>
      <c r="L119" s="15">
        <f t="shared" si="4"/>
        <v>0</v>
      </c>
      <c r="N119" s="344"/>
    </row>
    <row r="120" spans="1:15">
      <c r="D120" s="10" t="s">
        <v>134</v>
      </c>
      <c r="E120" s="193"/>
      <c r="F120" s="16"/>
      <c r="G120" s="193"/>
      <c r="H120" s="193"/>
      <c r="I120" s="193"/>
      <c r="J120" s="193"/>
      <c r="K120" s="193"/>
      <c r="L120" s="15">
        <f t="shared" si="4"/>
        <v>0</v>
      </c>
      <c r="N120" s="344"/>
    </row>
    <row r="121" spans="1:15">
      <c r="B121" s="32" t="s">
        <v>138</v>
      </c>
      <c r="C121" s="14"/>
      <c r="G121" s="42">
        <f>SUM(G114:G120)</f>
        <v>0</v>
      </c>
      <c r="H121" s="42">
        <f>SUM(H114:H120)</f>
        <v>0</v>
      </c>
      <c r="I121" s="42">
        <f>SUM(I114:I120)</f>
        <v>0</v>
      </c>
      <c r="J121" s="42">
        <f>SUM(J114:J120)</f>
        <v>0</v>
      </c>
      <c r="K121" s="42">
        <f>SUM(K114:K120)</f>
        <v>0</v>
      </c>
      <c r="L121" s="31">
        <f t="shared" si="4"/>
        <v>0</v>
      </c>
    </row>
    <row r="122" spans="1:15">
      <c r="B122" s="19"/>
      <c r="C122" s="20"/>
      <c r="D122" s="20"/>
      <c r="E122" s="20"/>
      <c r="F122" s="20"/>
      <c r="G122" s="20"/>
      <c r="H122" s="20"/>
      <c r="I122" s="20"/>
      <c r="J122" s="35"/>
      <c r="K122" s="35"/>
      <c r="L122" s="22"/>
    </row>
    <row r="123" spans="1:15">
      <c r="B123" s="156"/>
      <c r="C123" s="4"/>
      <c r="D123" s="4"/>
      <c r="E123" s="4"/>
      <c r="F123" s="4"/>
      <c r="G123" s="4"/>
      <c r="H123" s="4"/>
      <c r="I123" s="4"/>
      <c r="J123" s="5"/>
      <c r="K123" s="5"/>
      <c r="L123" s="36"/>
    </row>
    <row r="124" spans="1:15">
      <c r="G124" s="38" t="s">
        <v>84</v>
      </c>
      <c r="H124" s="38" t="s">
        <v>85</v>
      </c>
      <c r="I124" s="38" t="s">
        <v>86</v>
      </c>
      <c r="J124" s="38" t="s">
        <v>87</v>
      </c>
      <c r="K124" s="38" t="s">
        <v>88</v>
      </c>
      <c r="L124" s="31" t="s">
        <v>20</v>
      </c>
    </row>
    <row r="125" spans="1:15" s="25" customFormat="1">
      <c r="B125" s="32" t="s">
        <v>139</v>
      </c>
      <c r="C125" s="14"/>
      <c r="D125" s="10"/>
      <c r="E125" s="14"/>
      <c r="F125" s="14"/>
      <c r="G125" s="47">
        <f>ROUND(G65+G66+G71+G76+G80+G82+G86+G96+G102+G112+G121,)</f>
        <v>0</v>
      </c>
      <c r="H125" s="47">
        <f>ROUND(H65+H66+H71+H76+H80+H82+H86+H96+H102+H112+H121,)</f>
        <v>0</v>
      </c>
      <c r="I125" s="47">
        <f>ROUND(I65+I66+I71+I76+I80+I82+I86+I96+I102+I112+I121,)</f>
        <v>0</v>
      </c>
      <c r="J125" s="47">
        <f>ROUND(J65+J66+J71+J76+J80+J82+J86+J96+J102+J112+J121,)</f>
        <v>0</v>
      </c>
      <c r="K125" s="47">
        <f>ROUND(K65+K66+K71+K76+K80+K82+K86+K96+K102+K112+K121,)</f>
        <v>0</v>
      </c>
      <c r="L125" s="31">
        <f>SUM(G125:K125)</f>
        <v>0</v>
      </c>
      <c r="M125" s="16"/>
      <c r="N125" s="325"/>
      <c r="O125" s="325"/>
    </row>
    <row r="126" spans="1:15">
      <c r="B126" s="157"/>
      <c r="C126" s="152"/>
      <c r="D126" s="20"/>
      <c r="E126" s="20"/>
      <c r="F126" s="20"/>
      <c r="G126" s="20"/>
      <c r="H126" s="20"/>
      <c r="I126" s="20"/>
      <c r="J126" s="20"/>
      <c r="K126" s="20"/>
      <c r="L126" s="22"/>
    </row>
    <row r="127" spans="1:15">
      <c r="B127" s="32"/>
      <c r="C127" s="14"/>
      <c r="J127" s="10"/>
      <c r="K127" s="10"/>
    </row>
    <row r="128" spans="1:15">
      <c r="B128" s="32" t="s">
        <v>140</v>
      </c>
      <c r="C128" s="158"/>
      <c r="D128" s="125"/>
      <c r="E128" s="125"/>
      <c r="F128" s="125"/>
      <c r="G128" s="38" t="s">
        <v>84</v>
      </c>
      <c r="H128" s="38" t="s">
        <v>85</v>
      </c>
      <c r="I128" s="38" t="s">
        <v>86</v>
      </c>
      <c r="J128" s="38" t="s">
        <v>87</v>
      </c>
      <c r="K128" s="38" t="s">
        <v>88</v>
      </c>
    </row>
    <row r="129" spans="2:15">
      <c r="B129" s="13" t="s">
        <v>141</v>
      </c>
      <c r="E129" s="6" t="s">
        <v>142</v>
      </c>
      <c r="G129" s="254">
        <f>ROUND(+G125-G102-G96-G71-G66-G162-G170-G178-G186-G194-G202-G210,0)</f>
        <v>0</v>
      </c>
      <c r="H129" s="254">
        <f>ROUND(+H125-H102-H96-H71-H66-H162-H170-H178-H186-H194-H202-H210,0)</f>
        <v>0</v>
      </c>
      <c r="I129" s="254">
        <f>ROUND(+I125-I102-I96-I71-I66-I162-I170-I178-I186-I194-I202-I210,0)</f>
        <v>0</v>
      </c>
      <c r="J129" s="254">
        <f>ROUND(+J125-J102-J96-J71-J66-J162-J170-J178-J186-J194-J202-J210,0)</f>
        <v>0</v>
      </c>
      <c r="K129" s="254">
        <f>ROUND(+K125-K102-K96-K71-K66-K162-K170-K178-K186-K194-K202-K210,0)</f>
        <v>0</v>
      </c>
      <c r="N129" s="345"/>
    </row>
    <row r="130" spans="2:15">
      <c r="E130" s="6" t="s">
        <v>143</v>
      </c>
      <c r="G130" s="255">
        <v>0.57499999999999996</v>
      </c>
      <c r="H130" s="255">
        <v>0.57499999999999996</v>
      </c>
      <c r="I130" s="255">
        <v>0.57499999999999996</v>
      </c>
      <c r="J130" s="255">
        <v>0.57499999999999996</v>
      </c>
      <c r="K130" s="255">
        <v>0.57499999999999996</v>
      </c>
      <c r="N130" s="345"/>
    </row>
    <row r="131" spans="2:15" ht="14.4">
      <c r="B131" s="32" t="s">
        <v>144</v>
      </c>
      <c r="C131" s="14"/>
      <c r="E131" s="6"/>
      <c r="G131" s="256">
        <f>G129*G130</f>
        <v>0</v>
      </c>
      <c r="H131" s="256">
        <f>H129*H130</f>
        <v>0</v>
      </c>
      <c r="I131" s="256">
        <f>I129*I130</f>
        <v>0</v>
      </c>
      <c r="J131" s="256">
        <f>J129*J130</f>
        <v>0</v>
      </c>
      <c r="K131" s="256">
        <f>K129*K130</f>
        <v>0</v>
      </c>
      <c r="L131" s="257">
        <f>SUM(G131:K131)</f>
        <v>0</v>
      </c>
    </row>
    <row r="132" spans="2:15" s="25" customFormat="1" ht="15.6">
      <c r="B132" s="8" t="s">
        <v>145</v>
      </c>
      <c r="C132" s="9"/>
      <c r="D132" s="51"/>
      <c r="E132" s="9"/>
      <c r="F132" s="9"/>
      <c r="G132" s="52">
        <f>G125+G131</f>
        <v>0</v>
      </c>
      <c r="H132" s="52">
        <f>H125+H131</f>
        <v>0</v>
      </c>
      <c r="I132" s="52">
        <f>I125+I131</f>
        <v>0</v>
      </c>
      <c r="J132" s="52">
        <f>J125+J131</f>
        <v>0</v>
      </c>
      <c r="K132" s="52">
        <f>K125+K131</f>
        <v>0</v>
      </c>
      <c r="L132" s="205">
        <f>SUM(G132:K132)</f>
        <v>0</v>
      </c>
      <c r="M132" s="16"/>
      <c r="N132" s="325"/>
      <c r="O132" s="325"/>
    </row>
    <row r="133" spans="2:15" s="25" customFormat="1" ht="15.6">
      <c r="B133" s="146"/>
      <c r="C133" s="258"/>
      <c r="D133" s="259"/>
      <c r="E133" s="258"/>
      <c r="F133" s="258"/>
      <c r="G133" s="260"/>
      <c r="H133" s="260"/>
      <c r="I133" s="260"/>
      <c r="J133" s="260"/>
      <c r="K133" s="260"/>
      <c r="L133" s="261"/>
      <c r="M133" s="16"/>
      <c r="N133" s="325"/>
      <c r="O133" s="325"/>
    </row>
    <row r="134" spans="2:15" s="25" customFormat="1" ht="15.6">
      <c r="B134" s="8"/>
      <c r="C134" s="9"/>
      <c r="D134" s="51"/>
      <c r="E134" s="9"/>
      <c r="F134" s="9"/>
      <c r="G134" s="159"/>
      <c r="H134" s="159"/>
      <c r="I134" s="159"/>
      <c r="J134" s="159"/>
      <c r="K134" s="159"/>
      <c r="L134" s="206"/>
      <c r="M134" s="16"/>
      <c r="N134" s="325"/>
      <c r="O134" s="325"/>
    </row>
    <row r="135" spans="2:15" s="25" customFormat="1">
      <c r="B135" s="32" t="s">
        <v>146</v>
      </c>
      <c r="C135" s="158"/>
      <c r="D135" s="125"/>
      <c r="E135" s="125"/>
      <c r="F135" s="125"/>
      <c r="G135" s="38" t="s">
        <v>84</v>
      </c>
      <c r="H135" s="38" t="s">
        <v>85</v>
      </c>
      <c r="I135" s="38" t="s">
        <v>86</v>
      </c>
      <c r="J135" s="38" t="s">
        <v>87</v>
      </c>
      <c r="K135" s="38" t="s">
        <v>88</v>
      </c>
      <c r="L135" s="15"/>
      <c r="M135" s="16"/>
      <c r="N135" s="325"/>
      <c r="O135" s="325"/>
    </row>
    <row r="136" spans="2:15" s="25" customFormat="1">
      <c r="B136" s="13" t="s">
        <v>141</v>
      </c>
      <c r="C136" s="10"/>
      <c r="D136" s="10"/>
      <c r="E136" s="6" t="s">
        <v>142</v>
      </c>
      <c r="F136" s="10"/>
      <c r="G136" s="342">
        <f>G125-G102</f>
        <v>0</v>
      </c>
      <c r="H136" s="342">
        <f>H125-H102</f>
        <v>0</v>
      </c>
      <c r="I136" s="342">
        <f>I125-I102</f>
        <v>0</v>
      </c>
      <c r="J136" s="342">
        <f>J125-J102</f>
        <v>0</v>
      </c>
      <c r="K136" s="342">
        <f>K125-K102</f>
        <v>0</v>
      </c>
      <c r="L136" s="15"/>
      <c r="M136" s="16"/>
      <c r="N136" s="325"/>
      <c r="O136" s="325"/>
    </row>
    <row r="137" spans="2:15" s="25" customFormat="1">
      <c r="B137" s="13"/>
      <c r="C137" s="10"/>
      <c r="D137" s="10"/>
      <c r="E137" s="6" t="s">
        <v>143</v>
      </c>
      <c r="F137" s="10"/>
      <c r="G137" s="155">
        <v>0.42857000000000001</v>
      </c>
      <c r="H137" s="155">
        <v>0.42857000000000001</v>
      </c>
      <c r="I137" s="155">
        <v>0.42857000000000001</v>
      </c>
      <c r="J137" s="155">
        <v>0.42857000000000001</v>
      </c>
      <c r="K137" s="155">
        <v>0.42857000000000001</v>
      </c>
      <c r="L137" s="15"/>
      <c r="M137" s="16"/>
      <c r="N137" s="325"/>
      <c r="O137" s="325"/>
    </row>
    <row r="138" spans="2:15" s="25" customFormat="1">
      <c r="B138" s="32" t="s">
        <v>144</v>
      </c>
      <c r="C138" s="10"/>
      <c r="D138" s="10"/>
      <c r="E138" s="10"/>
      <c r="F138" s="10"/>
      <c r="G138" s="10">
        <f>G136*G137</f>
        <v>0</v>
      </c>
      <c r="H138" s="10">
        <f>H136*H137</f>
        <v>0</v>
      </c>
      <c r="I138" s="10">
        <f>I136*I137</f>
        <v>0</v>
      </c>
      <c r="J138" s="10">
        <f>J136*J137</f>
        <v>0</v>
      </c>
      <c r="K138" s="10">
        <f>K136*K137</f>
        <v>0</v>
      </c>
      <c r="L138" s="15">
        <f>SUM(G138:K138)</f>
        <v>0</v>
      </c>
      <c r="M138" s="16"/>
      <c r="N138" s="325"/>
      <c r="O138" s="325"/>
    </row>
    <row r="139" spans="2:15" s="25" customFormat="1" ht="15.6">
      <c r="B139" s="8" t="s">
        <v>145</v>
      </c>
      <c r="C139" s="9"/>
      <c r="D139" s="51"/>
      <c r="E139" s="9"/>
      <c r="F139" s="9"/>
      <c r="G139" s="9">
        <f>G125+G138</f>
        <v>0</v>
      </c>
      <c r="H139" s="9">
        <f>H125+H138</f>
        <v>0</v>
      </c>
      <c r="I139" s="9">
        <f>I125+I138</f>
        <v>0</v>
      </c>
      <c r="J139" s="9">
        <f>J125+J138</f>
        <v>0</v>
      </c>
      <c r="K139" s="9">
        <f>K125+K138</f>
        <v>0</v>
      </c>
      <c r="L139" s="205">
        <f>SUM(G139:K139)</f>
        <v>0</v>
      </c>
      <c r="M139" s="16"/>
      <c r="N139" s="325"/>
      <c r="O139" s="325"/>
    </row>
    <row r="140" spans="2:15" s="25" customFormat="1">
      <c r="B140" s="160"/>
      <c r="C140" s="161"/>
      <c r="D140" s="161"/>
      <c r="E140" s="161"/>
      <c r="F140" s="161"/>
      <c r="G140" s="161"/>
      <c r="H140" s="161"/>
      <c r="I140" s="161"/>
      <c r="J140" s="161"/>
      <c r="K140" s="161"/>
      <c r="L140" s="162"/>
      <c r="M140" s="16"/>
      <c r="N140" s="325"/>
      <c r="O140" s="325"/>
    </row>
    <row r="141" spans="2:15" s="25" customFormat="1">
      <c r="B141" s="32"/>
      <c r="C141" s="14"/>
      <c r="D141" s="1"/>
      <c r="E141" s="48"/>
      <c r="F141" s="11"/>
      <c r="G141" s="49"/>
      <c r="H141" s="50"/>
      <c r="I141" s="10"/>
      <c r="J141" s="10"/>
      <c r="K141" s="10"/>
      <c r="L141" s="15"/>
      <c r="M141" s="16"/>
      <c r="N141" s="325"/>
      <c r="O141" s="325"/>
    </row>
    <row r="142" spans="2:15" s="25" customFormat="1">
      <c r="B142" s="32" t="s">
        <v>147</v>
      </c>
      <c r="C142" s="14"/>
      <c r="D142" s="1"/>
      <c r="E142" s="125"/>
      <c r="F142" s="125"/>
      <c r="G142" s="38" t="s">
        <v>84</v>
      </c>
      <c r="H142" s="38" t="s">
        <v>85</v>
      </c>
      <c r="I142" s="38" t="s">
        <v>86</v>
      </c>
      <c r="J142" s="38" t="s">
        <v>87</v>
      </c>
      <c r="K142" s="38" t="s">
        <v>88</v>
      </c>
      <c r="L142" s="15"/>
      <c r="M142" s="16"/>
      <c r="N142" s="325"/>
      <c r="O142" s="325"/>
    </row>
    <row r="143" spans="2:15" s="25" customFormat="1">
      <c r="B143" s="13" t="s">
        <v>141</v>
      </c>
      <c r="C143" s="10"/>
      <c r="D143" s="10"/>
      <c r="E143" s="6" t="s">
        <v>142</v>
      </c>
      <c r="F143" s="10"/>
      <c r="G143" s="342">
        <f>G65+G66</f>
        <v>0</v>
      </c>
      <c r="H143" s="342">
        <f>H65+H66</f>
        <v>0</v>
      </c>
      <c r="I143" s="342">
        <f>I65+I66</f>
        <v>0</v>
      </c>
      <c r="J143" s="342">
        <f>J65+J66</f>
        <v>0</v>
      </c>
      <c r="K143" s="342">
        <f>K65+K66</f>
        <v>0</v>
      </c>
      <c r="L143" s="15"/>
      <c r="M143" s="16"/>
      <c r="N143" s="325"/>
      <c r="O143" s="325"/>
    </row>
    <row r="144" spans="2:15" s="25" customFormat="1">
      <c r="B144" s="13"/>
      <c r="C144" s="10"/>
      <c r="D144" s="10"/>
      <c r="E144" s="6" t="s">
        <v>143</v>
      </c>
      <c r="F144" s="10"/>
      <c r="G144" s="149">
        <v>0.1</v>
      </c>
      <c r="H144" s="149">
        <v>0.1</v>
      </c>
      <c r="I144" s="149">
        <v>0.1</v>
      </c>
      <c r="J144" s="149">
        <v>0.1</v>
      </c>
      <c r="K144" s="155">
        <v>0.1</v>
      </c>
      <c r="L144" s="15"/>
      <c r="M144" s="16"/>
      <c r="N144" s="325"/>
      <c r="O144" s="325"/>
    </row>
    <row r="145" spans="2:15" s="25" customFormat="1">
      <c r="B145" s="32" t="s">
        <v>144</v>
      </c>
      <c r="C145" s="10"/>
      <c r="D145" s="10"/>
      <c r="E145" s="10"/>
      <c r="F145" s="10"/>
      <c r="G145" s="10">
        <f>G143*G144</f>
        <v>0</v>
      </c>
      <c r="H145" s="10">
        <f>H143*H144</f>
        <v>0</v>
      </c>
      <c r="I145" s="10">
        <f>I143*I144</f>
        <v>0</v>
      </c>
      <c r="J145" s="10">
        <f>J143*J144</f>
        <v>0</v>
      </c>
      <c r="K145" s="10">
        <f>K143*K144</f>
        <v>0</v>
      </c>
      <c r="L145" s="15">
        <f>SUM(G145:K145)</f>
        <v>0</v>
      </c>
      <c r="M145" s="16"/>
      <c r="N145" s="325"/>
      <c r="O145" s="325"/>
    </row>
    <row r="146" spans="2:15" s="25" customFormat="1" ht="15.6">
      <c r="B146" s="8" t="s">
        <v>145</v>
      </c>
      <c r="C146" s="9"/>
      <c r="D146" s="51"/>
      <c r="E146" s="9"/>
      <c r="F146" s="9"/>
      <c r="G146" s="9">
        <f>G125+G145</f>
        <v>0</v>
      </c>
      <c r="H146" s="9">
        <f>H125+H145</f>
        <v>0</v>
      </c>
      <c r="I146" s="9">
        <f>I125+I145</f>
        <v>0</v>
      </c>
      <c r="J146" s="9">
        <f>J125+J145</f>
        <v>0</v>
      </c>
      <c r="K146" s="9">
        <f>K125+K145</f>
        <v>0</v>
      </c>
      <c r="L146" s="205">
        <f>SUM(G146:K146)</f>
        <v>0</v>
      </c>
      <c r="M146" s="16"/>
      <c r="N146" s="325"/>
      <c r="O146" s="325"/>
    </row>
    <row r="147" spans="2:15" s="25" customFormat="1">
      <c r="B147" s="160"/>
      <c r="C147" s="161"/>
      <c r="D147" s="161"/>
      <c r="E147" s="161"/>
      <c r="F147" s="161"/>
      <c r="G147" s="161"/>
      <c r="H147" s="161"/>
      <c r="I147" s="161"/>
      <c r="J147" s="161"/>
      <c r="K147" s="161"/>
      <c r="L147" s="162"/>
      <c r="M147" s="16"/>
      <c r="N147" s="325"/>
      <c r="O147" s="325"/>
    </row>
    <row r="148" spans="2:15" s="25" customFormat="1">
      <c r="B148" s="32"/>
      <c r="C148" s="14"/>
      <c r="D148" s="1"/>
      <c r="E148" s="48"/>
      <c r="F148" s="11"/>
      <c r="G148" s="49"/>
      <c r="H148" s="50"/>
      <c r="I148" s="10"/>
      <c r="J148" s="10"/>
      <c r="K148" s="10"/>
      <c r="L148" s="36"/>
      <c r="M148" s="326"/>
      <c r="N148" s="325"/>
      <c r="O148" s="325"/>
    </row>
    <row r="149" spans="2:15" s="25" customFormat="1">
      <c r="B149" s="32" t="s">
        <v>148</v>
      </c>
      <c r="C149" s="158"/>
      <c r="D149" s="125"/>
      <c r="E149" s="125"/>
      <c r="F149" s="125"/>
      <c r="G149" s="38" t="s">
        <v>84</v>
      </c>
      <c r="H149" s="38" t="s">
        <v>85</v>
      </c>
      <c r="I149" s="38" t="s">
        <v>86</v>
      </c>
      <c r="J149" s="38" t="s">
        <v>87</v>
      </c>
      <c r="K149" s="38" t="s">
        <v>88</v>
      </c>
      <c r="L149" s="15"/>
      <c r="M149" s="16"/>
      <c r="N149" s="325"/>
      <c r="O149" s="325"/>
    </row>
    <row r="150" spans="2:15" s="25" customFormat="1">
      <c r="B150" s="13" t="s">
        <v>141</v>
      </c>
      <c r="C150" s="10"/>
      <c r="D150" s="10"/>
      <c r="E150" s="6" t="s">
        <v>142</v>
      </c>
      <c r="F150" s="10"/>
      <c r="G150" s="342">
        <f>G125-G102</f>
        <v>0</v>
      </c>
      <c r="H150" s="342">
        <f>H125-H102</f>
        <v>0</v>
      </c>
      <c r="I150" s="342">
        <f>I125-I102</f>
        <v>0</v>
      </c>
      <c r="J150" s="342">
        <f>J125-J102</f>
        <v>0</v>
      </c>
      <c r="K150" s="342">
        <f>K125-K102</f>
        <v>0</v>
      </c>
      <c r="L150" s="15"/>
      <c r="M150" s="16"/>
      <c r="N150" s="325"/>
      <c r="O150" s="325"/>
    </row>
    <row r="151" spans="2:15" s="25" customFormat="1">
      <c r="B151" s="13"/>
      <c r="C151" s="10"/>
      <c r="D151" s="10"/>
      <c r="E151" s="6" t="s">
        <v>149</v>
      </c>
      <c r="F151" s="10"/>
      <c r="G151" s="209">
        <v>0.3</v>
      </c>
      <c r="H151" s="209">
        <v>0.3</v>
      </c>
      <c r="I151" s="209">
        <v>0.3</v>
      </c>
      <c r="J151" s="209">
        <v>0.3</v>
      </c>
      <c r="K151" s="210">
        <v>0.3</v>
      </c>
      <c r="L151" s="15"/>
      <c r="M151" s="16"/>
      <c r="N151" s="325"/>
      <c r="O151" s="325"/>
    </row>
    <row r="152" spans="2:15" s="25" customFormat="1">
      <c r="B152" s="13"/>
      <c r="C152" s="10"/>
      <c r="D152" s="10"/>
      <c r="E152" s="6" t="s">
        <v>150</v>
      </c>
      <c r="F152" s="10"/>
      <c r="G152" s="155">
        <f>(G151/(1-G151))</f>
        <v>0.4285714285714286</v>
      </c>
      <c r="H152" s="155">
        <f>(H151/(1-H151))</f>
        <v>0.4285714285714286</v>
      </c>
      <c r="I152" s="155">
        <f>(I151/(1-I151))</f>
        <v>0.4285714285714286</v>
      </c>
      <c r="J152" s="155">
        <f>(J151/(1-J151))</f>
        <v>0.4285714285714286</v>
      </c>
      <c r="K152" s="155">
        <f>(K151/(1-K151))</f>
        <v>0.4285714285714286</v>
      </c>
      <c r="L152" s="15"/>
      <c r="M152" s="16"/>
      <c r="N152" s="325"/>
      <c r="O152" s="325"/>
    </row>
    <row r="153" spans="2:15" s="25" customFormat="1">
      <c r="B153" s="32" t="s">
        <v>144</v>
      </c>
      <c r="C153" s="10"/>
      <c r="D153" s="10"/>
      <c r="E153" s="10"/>
      <c r="F153" s="10"/>
      <c r="G153" s="10">
        <f>G150*G152</f>
        <v>0</v>
      </c>
      <c r="H153" s="10">
        <f>H150*H152</f>
        <v>0</v>
      </c>
      <c r="I153" s="10">
        <f>I150*I152</f>
        <v>0</v>
      </c>
      <c r="J153" s="10">
        <f>J150*J152</f>
        <v>0</v>
      </c>
      <c r="K153" s="10">
        <f>K150*K152</f>
        <v>0</v>
      </c>
      <c r="L153" s="15">
        <f>SUM(G153:K153)</f>
        <v>0</v>
      </c>
      <c r="M153" s="16"/>
      <c r="N153" s="16"/>
      <c r="O153" s="325"/>
    </row>
    <row r="154" spans="2:15" s="25" customFormat="1" ht="15.6">
      <c r="B154" s="8" t="s">
        <v>151</v>
      </c>
      <c r="C154" s="9"/>
      <c r="D154" s="51"/>
      <c r="E154" s="51"/>
      <c r="F154" s="51"/>
      <c r="G154" s="9">
        <f>G153+G150+G102</f>
        <v>0</v>
      </c>
      <c r="H154" s="9">
        <f>H153+H150+H102</f>
        <v>0</v>
      </c>
      <c r="I154" s="9">
        <f>I153+I150+I102</f>
        <v>0</v>
      </c>
      <c r="J154" s="9">
        <f>J153+J150+J102</f>
        <v>0</v>
      </c>
      <c r="K154" s="9">
        <f>K153+K150+K102</f>
        <v>0</v>
      </c>
      <c r="L154" s="248">
        <f>SUM(G154:K154)</f>
        <v>0</v>
      </c>
      <c r="M154" s="116"/>
      <c r="N154" s="326"/>
      <c r="O154" s="325"/>
    </row>
    <row r="155" spans="2:15" s="25" customFormat="1">
      <c r="B155" s="160"/>
      <c r="C155" s="161"/>
      <c r="D155" s="161"/>
      <c r="E155" s="161"/>
      <c r="F155" s="161"/>
      <c r="G155" s="266"/>
      <c r="H155" s="161"/>
      <c r="I155" s="161"/>
      <c r="J155" s="161"/>
      <c r="K155" s="161"/>
      <c r="L155" s="162"/>
      <c r="M155" s="16"/>
      <c r="N155" s="346"/>
      <c r="O155" s="325"/>
    </row>
    <row r="156" spans="2:15" s="25" customFormat="1">
      <c r="B156" s="32"/>
      <c r="C156" s="14"/>
      <c r="D156" s="10"/>
      <c r="E156" s="14"/>
      <c r="F156" s="14"/>
      <c r="G156" s="14"/>
      <c r="H156" s="14"/>
      <c r="I156" s="14"/>
      <c r="J156" s="14"/>
      <c r="K156" s="14"/>
      <c r="L156" s="246"/>
      <c r="M156" s="16"/>
      <c r="N156" s="346"/>
      <c r="O156" s="325"/>
    </row>
    <row r="157" spans="2:15">
      <c r="D157" s="14" t="s">
        <v>152</v>
      </c>
      <c r="E157" s="1"/>
      <c r="F157" s="14"/>
      <c r="G157" s="14"/>
      <c r="H157" s="14"/>
      <c r="I157" s="14"/>
      <c r="J157" s="14"/>
      <c r="K157" s="14"/>
      <c r="L157" s="245"/>
      <c r="M157" s="317"/>
      <c r="N157" s="346"/>
    </row>
    <row r="158" spans="2:15">
      <c r="D158" s="10" t="str">
        <f>D105</f>
        <v>a)</v>
      </c>
      <c r="F158" s="6">
        <f>E105</f>
        <v>0</v>
      </c>
      <c r="G158" s="38" t="s">
        <v>84</v>
      </c>
      <c r="H158" s="38" t="s">
        <v>85</v>
      </c>
      <c r="I158" s="38" t="s">
        <v>86</v>
      </c>
      <c r="J158" s="38" t="s">
        <v>87</v>
      </c>
      <c r="K158" s="38" t="s">
        <v>88</v>
      </c>
      <c r="L158" s="246" t="s">
        <v>20</v>
      </c>
      <c r="N158" s="346"/>
    </row>
    <row r="159" spans="2:15">
      <c r="F159" s="6" t="s">
        <v>153</v>
      </c>
      <c r="G159" s="6">
        <f>G105</f>
        <v>0</v>
      </c>
      <c r="H159" s="6">
        <f>H105</f>
        <v>0</v>
      </c>
      <c r="I159" s="6">
        <f>I105</f>
        <v>0</v>
      </c>
      <c r="J159" s="6">
        <f>J105</f>
        <v>0</v>
      </c>
      <c r="K159" s="6">
        <f>K105</f>
        <v>0</v>
      </c>
      <c r="L159" s="245">
        <f>SUM(G159:K159)</f>
        <v>0</v>
      </c>
      <c r="M159" s="347"/>
      <c r="N159" s="346"/>
    </row>
    <row r="160" spans="2:15" ht="14.25" customHeight="1">
      <c r="D160" s="1"/>
      <c r="F160" s="6" t="s">
        <v>154</v>
      </c>
      <c r="G160" s="6">
        <f>G105</f>
        <v>0</v>
      </c>
      <c r="H160" s="6">
        <f>SUM(G105:H105)</f>
        <v>0</v>
      </c>
      <c r="I160" s="6">
        <f>SUM(G105:I105)</f>
        <v>0</v>
      </c>
      <c r="J160" s="6">
        <f>SUM(G105:J105)</f>
        <v>0</v>
      </c>
      <c r="K160" s="6">
        <f>SUM(G105:K105)</f>
        <v>0</v>
      </c>
      <c r="L160" s="245">
        <f>K160</f>
        <v>0</v>
      </c>
      <c r="M160" s="317"/>
      <c r="N160" s="346"/>
      <c r="O160" s="319"/>
    </row>
    <row r="161" spans="2:14">
      <c r="F161" s="7" t="s">
        <v>155</v>
      </c>
      <c r="G161" s="10">
        <f>IF(AND(G160&gt;=25000), 25000,G105)</f>
        <v>0</v>
      </c>
      <c r="H161" s="10">
        <f>IF(AND(H160&gt;=25000),25000-G161,H105)</f>
        <v>0</v>
      </c>
      <c r="I161" s="10">
        <f>IF(AND(I160&gt;=25000),25000-SUM(G161:H161),I105)</f>
        <v>0</v>
      </c>
      <c r="J161" s="10">
        <f>IF(AND(J160&gt;=25000),25000-SUM(G161:I161),J105)</f>
        <v>0</v>
      </c>
      <c r="K161" s="10">
        <f>IF(AND(K160&gt;=25000),25000-SUM(G161:J161),K105)</f>
        <v>0</v>
      </c>
      <c r="L161" s="245">
        <f>SUM(G161:K161)</f>
        <v>0</v>
      </c>
      <c r="N161" s="346"/>
    </row>
    <row r="162" spans="2:14">
      <c r="F162" s="6" t="s">
        <v>156</v>
      </c>
      <c r="G162" s="10">
        <f>IF(G161=25000, G105-G161, 0)</f>
        <v>0</v>
      </c>
      <c r="H162" s="10">
        <f>IF(SUM(G161:H161)=25000, H105-H161, 0)</f>
        <v>0</v>
      </c>
      <c r="I162" s="10">
        <f>IF(SUM(G161:I161)=25000, I105-I161, 0)</f>
        <v>0</v>
      </c>
      <c r="J162" s="10">
        <f>IF(SUM(G161:J161)=25000, J105-J161, 0)</f>
        <v>0</v>
      </c>
      <c r="K162" s="10">
        <f>IF(SUM(G161:K161)=25000, K105-K161, 0)</f>
        <v>0</v>
      </c>
      <c r="L162" s="245">
        <f>SUM(G162:K162)</f>
        <v>0</v>
      </c>
      <c r="N162" s="346"/>
    </row>
    <row r="163" spans="2:14">
      <c r="F163" s="6" t="s">
        <v>157</v>
      </c>
      <c r="G163" s="10">
        <f t="shared" ref="G163:L163" si="5">SUM(G161:G162)</f>
        <v>0</v>
      </c>
      <c r="H163" s="10">
        <f t="shared" si="5"/>
        <v>0</v>
      </c>
      <c r="I163" s="10">
        <f t="shared" si="5"/>
        <v>0</v>
      </c>
      <c r="J163" s="10">
        <f t="shared" si="5"/>
        <v>0</v>
      </c>
      <c r="K163" s="10">
        <f t="shared" si="5"/>
        <v>0</v>
      </c>
      <c r="L163" s="245">
        <f t="shared" si="5"/>
        <v>0</v>
      </c>
      <c r="N163" s="346"/>
    </row>
    <row r="164" spans="2:14">
      <c r="F164" s="6"/>
      <c r="J164" s="10"/>
      <c r="K164" s="10"/>
      <c r="L164" s="245"/>
    </row>
    <row r="165" spans="2:14">
      <c r="F165" s="6"/>
      <c r="J165" s="10"/>
      <c r="K165" s="10"/>
      <c r="L165" s="245"/>
    </row>
    <row r="166" spans="2:14">
      <c r="D166" s="10" t="str">
        <f>D106</f>
        <v>b)</v>
      </c>
      <c r="F166" s="6">
        <f>E106</f>
        <v>0</v>
      </c>
      <c r="J166" s="10"/>
      <c r="K166" s="10"/>
      <c r="L166" s="245"/>
    </row>
    <row r="167" spans="2:14">
      <c r="D167" s="26"/>
      <c r="F167" s="6" t="s">
        <v>153</v>
      </c>
      <c r="G167" s="6">
        <f>G106</f>
        <v>0</v>
      </c>
      <c r="H167" s="10">
        <f>H106</f>
        <v>0</v>
      </c>
      <c r="I167" s="10">
        <f>I106</f>
        <v>0</v>
      </c>
      <c r="J167" s="10">
        <f>J106</f>
        <v>0</v>
      </c>
      <c r="K167" s="10">
        <f>K106</f>
        <v>0</v>
      </c>
      <c r="L167" s="15">
        <f>SUM(G167:K167)</f>
        <v>0</v>
      </c>
    </row>
    <row r="168" spans="2:14">
      <c r="B168" s="44"/>
      <c r="F168" s="6" t="s">
        <v>154</v>
      </c>
      <c r="G168" s="6">
        <f>G106</f>
        <v>0</v>
      </c>
      <c r="H168" s="6">
        <f>SUM(G106:H106)</f>
        <v>0</v>
      </c>
      <c r="I168" s="6">
        <f>SUM(G106:I106)</f>
        <v>0</v>
      </c>
      <c r="J168" s="6">
        <f>SUM(G106:J106)</f>
        <v>0</v>
      </c>
      <c r="K168" s="6">
        <f>SUM(G106:K106)</f>
        <v>0</v>
      </c>
      <c r="L168" s="15">
        <f>K168</f>
        <v>0</v>
      </c>
    </row>
    <row r="169" spans="2:14">
      <c r="D169" s="1"/>
      <c r="F169" s="7" t="s">
        <v>155</v>
      </c>
      <c r="G169" s="10">
        <f>IF(AND(G168&gt;=25000), 25000,G106)</f>
        <v>0</v>
      </c>
      <c r="H169" s="10">
        <f>IF(AND(H168&gt;=25000), 25000-G169,H106)</f>
        <v>0</v>
      </c>
      <c r="I169" s="10">
        <f>IF(AND(I168&gt;=25000), 25000-SUM(G169:H169),I106)</f>
        <v>0</v>
      </c>
      <c r="J169" s="10">
        <f>IF(AND(J168&gt;=25000), 25000-SUM(G169:I169),J106)</f>
        <v>0</v>
      </c>
      <c r="K169" s="10">
        <f>IF(AND(K168&gt;=25000), 25000-SUM(G169:J169),K106)</f>
        <v>0</v>
      </c>
      <c r="L169" s="15">
        <f>SUM(G169:K169)</f>
        <v>0</v>
      </c>
    </row>
    <row r="170" spans="2:14">
      <c r="F170" s="6" t="s">
        <v>156</v>
      </c>
      <c r="G170" s="10">
        <f>IF(G169=25000,G106-G169,0)</f>
        <v>0</v>
      </c>
      <c r="H170" s="10">
        <f>IF(SUM(G169:H169)=25000,H106-H169, 0)</f>
        <v>0</v>
      </c>
      <c r="I170" s="10">
        <f>IF(SUM(G169:I169)=25000, I106-I169, 0)</f>
        <v>0</v>
      </c>
      <c r="J170" s="10">
        <f>IF(SUM(G169:J169)=25000,J106-J169, 0)</f>
        <v>0</v>
      </c>
      <c r="K170" s="10">
        <f>IF(SUM(G169:K169)=25000,K106-K169, 0)</f>
        <v>0</v>
      </c>
      <c r="L170" s="15">
        <f>SUM(G170:K170)</f>
        <v>0</v>
      </c>
    </row>
    <row r="171" spans="2:14">
      <c r="F171" s="6" t="s">
        <v>157</v>
      </c>
      <c r="G171" s="10">
        <f t="shared" ref="G171:L171" si="6">SUM(G169:G170)</f>
        <v>0</v>
      </c>
      <c r="H171" s="10">
        <f t="shared" si="6"/>
        <v>0</v>
      </c>
      <c r="I171" s="10">
        <f t="shared" si="6"/>
        <v>0</v>
      </c>
      <c r="J171" s="10">
        <f t="shared" si="6"/>
        <v>0</v>
      </c>
      <c r="K171" s="10">
        <f t="shared" si="6"/>
        <v>0</v>
      </c>
      <c r="L171" s="15">
        <f t="shared" si="6"/>
        <v>0</v>
      </c>
    </row>
    <row r="174" spans="2:14">
      <c r="D174" s="10" t="str">
        <f>D107</f>
        <v>c)</v>
      </c>
      <c r="F174" s="6">
        <f>E107</f>
        <v>0</v>
      </c>
      <c r="J174" s="10"/>
      <c r="K174" s="10"/>
    </row>
    <row r="175" spans="2:14">
      <c r="D175" s="26"/>
      <c r="F175" s="6" t="s">
        <v>153</v>
      </c>
      <c r="G175" s="6">
        <f>G107</f>
        <v>0</v>
      </c>
      <c r="H175" s="6">
        <f>H107</f>
        <v>0</v>
      </c>
      <c r="I175" s="6">
        <f>I107</f>
        <v>0</v>
      </c>
      <c r="J175" s="6">
        <f>J107</f>
        <v>0</v>
      </c>
      <c r="K175" s="6">
        <f>K107</f>
        <v>0</v>
      </c>
      <c r="L175" s="15">
        <f>SUM(G175:K175)</f>
        <v>0</v>
      </c>
    </row>
    <row r="176" spans="2:14">
      <c r="F176" s="6" t="s">
        <v>154</v>
      </c>
      <c r="G176" s="6">
        <f>G107</f>
        <v>0</v>
      </c>
      <c r="H176" s="6">
        <f>SUM(G107:H107)</f>
        <v>0</v>
      </c>
      <c r="I176" s="6">
        <f>SUM(G107:I107)</f>
        <v>0</v>
      </c>
      <c r="J176" s="6">
        <f>SUM(G107:J107)</f>
        <v>0</v>
      </c>
      <c r="K176" s="6">
        <f>SUM(G107:K107)</f>
        <v>0</v>
      </c>
      <c r="L176" s="15">
        <f>K176</f>
        <v>0</v>
      </c>
    </row>
    <row r="177" spans="4:12">
      <c r="D177" s="1"/>
      <c r="F177" s="7" t="s">
        <v>155</v>
      </c>
      <c r="G177" s="10">
        <f>IF(AND(G176&gt;=25000), 25000,G107)</f>
        <v>0</v>
      </c>
      <c r="H177" s="10">
        <f>IF(AND(H176&gt;=25000), 25000-G177,H107)</f>
        <v>0</v>
      </c>
      <c r="I177" s="10">
        <f>IF(AND(I176&gt;=25000), 25000-SUM(G177:H177),I107)</f>
        <v>0</v>
      </c>
      <c r="J177" s="10">
        <f>IF(AND(J176&gt;=25000), 25000-SUM(G177:I177),J107)</f>
        <v>0</v>
      </c>
      <c r="K177" s="10">
        <f>IF(AND(K176&gt;=25000), 25000-SUM(G177:J177),K107)</f>
        <v>0</v>
      </c>
      <c r="L177" s="15">
        <f>SUM(G177:K177)</f>
        <v>0</v>
      </c>
    </row>
    <row r="178" spans="4:12">
      <c r="F178" s="6" t="s">
        <v>156</v>
      </c>
      <c r="G178" s="10">
        <f>IF(G177=25000,G107-G177,0)</f>
        <v>0</v>
      </c>
      <c r="H178" s="10">
        <f>IF(SUM(G177:H177)=25000,H107-H177, 0)</f>
        <v>0</v>
      </c>
      <c r="I178" s="10">
        <f>IF(SUM(G177:I177)=25000, I107-I177, 0)</f>
        <v>0</v>
      </c>
      <c r="J178" s="10">
        <f>IF(SUM(G177:J177)=25000,J107-J177, 0)</f>
        <v>0</v>
      </c>
      <c r="K178" s="10">
        <f>IF(SUM(G177:K177)=25000,K107-K177, 0)</f>
        <v>0</v>
      </c>
      <c r="L178" s="15">
        <f>SUM(G178:K178)</f>
        <v>0</v>
      </c>
    </row>
    <row r="179" spans="4:12">
      <c r="F179" s="6" t="s">
        <v>157</v>
      </c>
      <c r="G179" s="10">
        <f t="shared" ref="G179:L179" si="7">SUM(G177:G178)</f>
        <v>0</v>
      </c>
      <c r="H179" s="10">
        <f t="shared" si="7"/>
        <v>0</v>
      </c>
      <c r="I179" s="10">
        <f t="shared" si="7"/>
        <v>0</v>
      </c>
      <c r="J179" s="10">
        <f t="shared" si="7"/>
        <v>0</v>
      </c>
      <c r="K179" s="10">
        <f t="shared" si="7"/>
        <v>0</v>
      </c>
      <c r="L179" s="15">
        <f t="shared" si="7"/>
        <v>0</v>
      </c>
    </row>
    <row r="182" spans="4:12">
      <c r="D182" s="10" t="str">
        <f>D108</f>
        <v>d)</v>
      </c>
      <c r="F182" s="6">
        <f>E108</f>
        <v>0</v>
      </c>
      <c r="J182" s="10"/>
      <c r="K182" s="10"/>
    </row>
    <row r="183" spans="4:12">
      <c r="D183" s="26"/>
      <c r="F183" s="6" t="s">
        <v>153</v>
      </c>
      <c r="G183" s="6">
        <f>G108</f>
        <v>0</v>
      </c>
      <c r="H183" s="6">
        <f>H108</f>
        <v>0</v>
      </c>
      <c r="I183" s="6">
        <f>I108</f>
        <v>0</v>
      </c>
      <c r="J183" s="6">
        <f>J108</f>
        <v>0</v>
      </c>
      <c r="K183" s="6">
        <f>K108</f>
        <v>0</v>
      </c>
      <c r="L183" s="15">
        <f>SUM(G183:K183)</f>
        <v>0</v>
      </c>
    </row>
    <row r="184" spans="4:12">
      <c r="F184" s="6" t="s">
        <v>154</v>
      </c>
      <c r="G184" s="6">
        <f>G108</f>
        <v>0</v>
      </c>
      <c r="H184" s="6">
        <f>SUM(G108:H108)</f>
        <v>0</v>
      </c>
      <c r="I184" s="6">
        <f>SUM(G108:I108)</f>
        <v>0</v>
      </c>
      <c r="J184" s="6">
        <f>SUM(G108:J108)</f>
        <v>0</v>
      </c>
      <c r="K184" s="6">
        <f>SUM(G108:K108)</f>
        <v>0</v>
      </c>
      <c r="L184" s="15">
        <f>K184</f>
        <v>0</v>
      </c>
    </row>
    <row r="185" spans="4:12">
      <c r="D185" s="1"/>
      <c r="F185" s="7" t="s">
        <v>155</v>
      </c>
      <c r="G185" s="10">
        <f>IF(AND(G184&gt;=25000), 25000,G108)</f>
        <v>0</v>
      </c>
      <c r="H185" s="10">
        <f>IF(AND(H184&gt;=25000), 25000-G185,H108)</f>
        <v>0</v>
      </c>
      <c r="I185" s="10">
        <f>IF(AND(I184&gt;=25000), 25000-SUM(G185:H185),I108)</f>
        <v>0</v>
      </c>
      <c r="J185" s="10">
        <f>IF(AND(J184&gt;=25000), 25000-SUM(G185:I185),J108)</f>
        <v>0</v>
      </c>
      <c r="K185" s="10">
        <f>IF(AND(K184&gt;=25000), 25000-SUM(G185:J185),K108)</f>
        <v>0</v>
      </c>
      <c r="L185" s="15">
        <f>SUM(G185:K185)</f>
        <v>0</v>
      </c>
    </row>
    <row r="186" spans="4:12">
      <c r="F186" s="6" t="s">
        <v>156</v>
      </c>
      <c r="G186" s="10">
        <f>IF(G185=25000,G108-G185,0)</f>
        <v>0</v>
      </c>
      <c r="H186" s="10">
        <f>IF(SUM(G185:H185)=25000,H108-H185, 0)</f>
        <v>0</v>
      </c>
      <c r="I186" s="10">
        <f>IF(SUM(G185:I185)=25000, I108-I185, 0)</f>
        <v>0</v>
      </c>
      <c r="J186" s="10">
        <f>IF(SUM(G185:J185)=25000,J108-J185, 0)</f>
        <v>0</v>
      </c>
      <c r="K186" s="10">
        <f>IF(SUM(G185:K185)=25000,K108-K185, 0)</f>
        <v>0</v>
      </c>
      <c r="L186" s="15">
        <f>SUM(G186:K186)</f>
        <v>0</v>
      </c>
    </row>
    <row r="187" spans="4:12">
      <c r="F187" s="6" t="s">
        <v>157</v>
      </c>
      <c r="G187" s="10">
        <f t="shared" ref="G187:L187" si="8">SUM(G185:G186)</f>
        <v>0</v>
      </c>
      <c r="H187" s="10">
        <f t="shared" si="8"/>
        <v>0</v>
      </c>
      <c r="I187" s="10">
        <f t="shared" si="8"/>
        <v>0</v>
      </c>
      <c r="J187" s="10">
        <f t="shared" si="8"/>
        <v>0</v>
      </c>
      <c r="K187" s="10">
        <f t="shared" si="8"/>
        <v>0</v>
      </c>
      <c r="L187" s="15">
        <f t="shared" si="8"/>
        <v>0</v>
      </c>
    </row>
    <row r="190" spans="4:12">
      <c r="D190" s="10" t="str">
        <f>D109</f>
        <v>e)</v>
      </c>
      <c r="F190" s="6">
        <f>E109</f>
        <v>0</v>
      </c>
      <c r="J190" s="10"/>
      <c r="K190" s="10"/>
    </row>
    <row r="191" spans="4:12">
      <c r="D191" s="26"/>
      <c r="F191" s="6" t="s">
        <v>153</v>
      </c>
      <c r="G191" s="6">
        <f>G109</f>
        <v>0</v>
      </c>
      <c r="H191" s="6">
        <f>H109</f>
        <v>0</v>
      </c>
      <c r="I191" s="6">
        <f>I109</f>
        <v>0</v>
      </c>
      <c r="J191" s="6">
        <f>J109</f>
        <v>0</v>
      </c>
      <c r="K191" s="6">
        <f>K109</f>
        <v>0</v>
      </c>
      <c r="L191" s="15">
        <f>SUM(G191:K191)</f>
        <v>0</v>
      </c>
    </row>
    <row r="192" spans="4:12">
      <c r="F192" s="6" t="s">
        <v>154</v>
      </c>
      <c r="G192" s="6">
        <f>G109</f>
        <v>0</v>
      </c>
      <c r="H192" s="6">
        <f>SUM(G109:H109)</f>
        <v>0</v>
      </c>
      <c r="I192" s="6">
        <f>SUM(G109:I109)</f>
        <v>0</v>
      </c>
      <c r="J192" s="6">
        <f>SUM(G109:J109)</f>
        <v>0</v>
      </c>
      <c r="K192" s="6">
        <f>SUM(G109:K109)</f>
        <v>0</v>
      </c>
      <c r="L192" s="15">
        <f>K192</f>
        <v>0</v>
      </c>
    </row>
    <row r="193" spans="4:12">
      <c r="D193" s="1"/>
      <c r="F193" s="7" t="s">
        <v>155</v>
      </c>
      <c r="G193" s="10">
        <f>IF(AND(G192&gt;=25000), 25000,G109)</f>
        <v>0</v>
      </c>
      <c r="H193" s="10">
        <f>IF(AND(H192&gt;=25000), 25000-G193,H109)</f>
        <v>0</v>
      </c>
      <c r="I193" s="10">
        <f>IF(AND(I192&gt;=25000), 25000-SUM(G193:H193),I109)</f>
        <v>0</v>
      </c>
      <c r="J193" s="10">
        <f>IF(AND(J192&gt;=25000), 25000-SUM(G193:I193),J109)</f>
        <v>0</v>
      </c>
      <c r="K193" s="10">
        <f>IF(AND(K192&gt;=25000), 25000-SUM(G193:J193),K109)</f>
        <v>0</v>
      </c>
      <c r="L193" s="15">
        <f>SUM(G193:K193)</f>
        <v>0</v>
      </c>
    </row>
    <row r="194" spans="4:12">
      <c r="F194" s="6" t="s">
        <v>156</v>
      </c>
      <c r="G194" s="10">
        <f>IF(G193=25000,G109-G193,0)</f>
        <v>0</v>
      </c>
      <c r="H194" s="10">
        <f>IF(SUM(G193:H193)=25000,H109-H193, 0)</f>
        <v>0</v>
      </c>
      <c r="I194" s="10">
        <f>IF(SUM(G193:I193)=25000, I109-I193, 0)</f>
        <v>0</v>
      </c>
      <c r="J194" s="10">
        <f>IF(SUM(G193:J193)=25000,J109-J193, 0)</f>
        <v>0</v>
      </c>
      <c r="K194" s="10">
        <f>IF(SUM(G193:K193)=25000,K109-K193, 0)</f>
        <v>0</v>
      </c>
      <c r="L194" s="15">
        <f>SUM(G194:K194)</f>
        <v>0</v>
      </c>
    </row>
    <row r="195" spans="4:12">
      <c r="F195" s="6" t="s">
        <v>157</v>
      </c>
      <c r="G195" s="10">
        <f t="shared" ref="G195:L195" si="9">SUM(G193:G194)</f>
        <v>0</v>
      </c>
      <c r="H195" s="10">
        <f t="shared" si="9"/>
        <v>0</v>
      </c>
      <c r="I195" s="10">
        <f t="shared" si="9"/>
        <v>0</v>
      </c>
      <c r="J195" s="10">
        <f t="shared" si="9"/>
        <v>0</v>
      </c>
      <c r="K195" s="10">
        <f t="shared" si="9"/>
        <v>0</v>
      </c>
      <c r="L195" s="15">
        <f t="shared" si="9"/>
        <v>0</v>
      </c>
    </row>
    <row r="196" spans="4:12">
      <c r="F196" s="6"/>
      <c r="J196" s="10"/>
      <c r="K196" s="10"/>
    </row>
    <row r="198" spans="4:12">
      <c r="D198" s="10" t="str">
        <f>D110</f>
        <v>f)</v>
      </c>
      <c r="F198" s="6">
        <f>E110</f>
        <v>0</v>
      </c>
      <c r="J198" s="10"/>
      <c r="K198" s="10"/>
    </row>
    <row r="199" spans="4:12">
      <c r="D199" s="26"/>
      <c r="F199" s="6" t="s">
        <v>153</v>
      </c>
      <c r="G199" s="6">
        <f>G110</f>
        <v>0</v>
      </c>
      <c r="H199" s="6">
        <f>H110</f>
        <v>0</v>
      </c>
      <c r="I199" s="6">
        <f>I110</f>
        <v>0</v>
      </c>
      <c r="J199" s="6">
        <f>J110</f>
        <v>0</v>
      </c>
      <c r="K199" s="6">
        <f>K110</f>
        <v>0</v>
      </c>
      <c r="L199" s="15">
        <f>SUM(G199:K199)</f>
        <v>0</v>
      </c>
    </row>
    <row r="200" spans="4:12">
      <c r="F200" s="6" t="s">
        <v>154</v>
      </c>
      <c r="G200" s="6">
        <f>G110</f>
        <v>0</v>
      </c>
      <c r="H200" s="6">
        <f>SUM(G110:H110)</f>
        <v>0</v>
      </c>
      <c r="I200" s="6">
        <f>SUM(G110:I110)</f>
        <v>0</v>
      </c>
      <c r="J200" s="6">
        <f>SUM(G110:J110)</f>
        <v>0</v>
      </c>
      <c r="K200" s="6">
        <f>SUM(G110:K110)</f>
        <v>0</v>
      </c>
      <c r="L200" s="15">
        <f>K200</f>
        <v>0</v>
      </c>
    </row>
    <row r="201" spans="4:12">
      <c r="D201" s="1"/>
      <c r="F201" s="7" t="s">
        <v>155</v>
      </c>
      <c r="G201" s="10">
        <f>IF(AND(G200&gt;=25000), 25000,G110)</f>
        <v>0</v>
      </c>
      <c r="H201" s="10">
        <f>IF(AND(H200&gt;=25000), 25000-G201,H110)</f>
        <v>0</v>
      </c>
      <c r="I201" s="10">
        <f>IF(AND(I200&gt;=25000), 25000-SUM(G201:H201),I110)</f>
        <v>0</v>
      </c>
      <c r="J201" s="10">
        <f>IF(AND(J200&gt;=25000), 25000-SUM(G201:I201),J110)</f>
        <v>0</v>
      </c>
      <c r="K201" s="10">
        <f>IF(AND(K200&gt;=25000), 25000-SUM(G201:J201),K110)</f>
        <v>0</v>
      </c>
      <c r="L201" s="15">
        <f>SUM(G201:K201)</f>
        <v>0</v>
      </c>
    </row>
    <row r="202" spans="4:12">
      <c r="F202" s="6" t="s">
        <v>156</v>
      </c>
      <c r="G202" s="10">
        <f>IF(G201=25000,G110-G201,0)</f>
        <v>0</v>
      </c>
      <c r="H202" s="10">
        <f>IF(SUM(G201:H201)=25000,H110-H201, 0)</f>
        <v>0</v>
      </c>
      <c r="I202" s="10">
        <f>IF(SUM(G201:I201)=25000, I110-I201, 0)</f>
        <v>0</v>
      </c>
      <c r="J202" s="10">
        <f>IF(SUM(G201:J201)=25000,J110-J201, 0)</f>
        <v>0</v>
      </c>
      <c r="K202" s="10">
        <f>IF(SUM(G201:K201)=25000,K110-K201, 0)</f>
        <v>0</v>
      </c>
      <c r="L202" s="15">
        <f>SUM(G202:K202)</f>
        <v>0</v>
      </c>
    </row>
    <row r="203" spans="4:12">
      <c r="F203" s="6" t="s">
        <v>157</v>
      </c>
      <c r="G203" s="10">
        <f t="shared" ref="G203:L203" si="10">SUM(G201:G202)</f>
        <v>0</v>
      </c>
      <c r="H203" s="10">
        <f t="shared" si="10"/>
        <v>0</v>
      </c>
      <c r="I203" s="10">
        <f t="shared" si="10"/>
        <v>0</v>
      </c>
      <c r="J203" s="10">
        <f t="shared" si="10"/>
        <v>0</v>
      </c>
      <c r="K203" s="10">
        <f t="shared" si="10"/>
        <v>0</v>
      </c>
      <c r="L203" s="15">
        <f t="shared" si="10"/>
        <v>0</v>
      </c>
    </row>
    <row r="204" spans="4:12">
      <c r="F204" s="6"/>
      <c r="J204" s="10"/>
      <c r="K204" s="10"/>
    </row>
    <row r="206" spans="4:12">
      <c r="D206" s="10" t="str">
        <f>D111</f>
        <v>g)</v>
      </c>
      <c r="F206" s="6">
        <f>E111</f>
        <v>0</v>
      </c>
      <c r="J206" s="10"/>
      <c r="K206" s="10"/>
    </row>
    <row r="207" spans="4:12">
      <c r="D207" s="26"/>
      <c r="F207" s="6" t="s">
        <v>153</v>
      </c>
      <c r="G207" s="6">
        <f>G111</f>
        <v>0</v>
      </c>
      <c r="H207" s="6">
        <f>H111</f>
        <v>0</v>
      </c>
      <c r="I207" s="6">
        <f>I111</f>
        <v>0</v>
      </c>
      <c r="J207" s="6">
        <f>J111</f>
        <v>0</v>
      </c>
      <c r="K207" s="6">
        <f>K111</f>
        <v>0</v>
      </c>
      <c r="L207" s="15">
        <f>SUM(G207:K207)</f>
        <v>0</v>
      </c>
    </row>
    <row r="208" spans="4:12">
      <c r="F208" s="6" t="s">
        <v>154</v>
      </c>
      <c r="G208" s="6">
        <f>G111</f>
        <v>0</v>
      </c>
      <c r="H208" s="6">
        <f>SUM(G111:H111)</f>
        <v>0</v>
      </c>
      <c r="I208" s="6">
        <f>SUM(G111:I111)</f>
        <v>0</v>
      </c>
      <c r="J208" s="6">
        <f>SUM(G111:J111)</f>
        <v>0</v>
      </c>
      <c r="K208" s="6">
        <f>SUM(G111:K111)</f>
        <v>0</v>
      </c>
      <c r="L208" s="15">
        <f>K208</f>
        <v>0</v>
      </c>
    </row>
    <row r="209" spans="4:12">
      <c r="D209" s="1"/>
      <c r="F209" s="7" t="s">
        <v>155</v>
      </c>
      <c r="G209" s="10">
        <f>IF(AND(G208&gt;=25000), 25000,G111)</f>
        <v>0</v>
      </c>
      <c r="H209" s="10">
        <f>IF(AND(H208&gt;=25000), 25000-G209,H111)</f>
        <v>0</v>
      </c>
      <c r="I209" s="10">
        <f>IF(AND(I208&gt;=25000), 25000-SUM(G209:H209),I111)</f>
        <v>0</v>
      </c>
      <c r="J209" s="10">
        <f>IF(AND(J208&gt;=25000), 25000-SUM(G209:I209),J111)</f>
        <v>0</v>
      </c>
      <c r="K209" s="10">
        <f>IF(AND(K208&gt;=25000), 25000-SUM(G209:J209),K111)</f>
        <v>0</v>
      </c>
      <c r="L209" s="15">
        <f>SUM(G209:K209)</f>
        <v>0</v>
      </c>
    </row>
    <row r="210" spans="4:12">
      <c r="F210" s="6" t="s">
        <v>156</v>
      </c>
      <c r="G210" s="10">
        <f>IF(G209=25000,G111-G209,0)</f>
        <v>0</v>
      </c>
      <c r="H210" s="10">
        <f>IF(SUM(G209:H209)=25000,H111-H209, 0)</f>
        <v>0</v>
      </c>
      <c r="I210" s="10">
        <f>IF(SUM(G209:I209)=25000, I111-I209, 0)</f>
        <v>0</v>
      </c>
      <c r="J210" s="10">
        <f>IF(SUM(G209:J209)=25000,J111-J209, 0)</f>
        <v>0</v>
      </c>
      <c r="K210" s="10">
        <f>IF(SUM(G209:K209)=25000,K111-K209, 0)</f>
        <v>0</v>
      </c>
      <c r="L210" s="15">
        <f>SUM(G210:K210)</f>
        <v>0</v>
      </c>
    </row>
    <row r="211" spans="4:12">
      <c r="F211" s="6" t="s">
        <v>157</v>
      </c>
      <c r="G211" s="10">
        <f t="shared" ref="G211:L211" si="11">SUM(G209:G210)</f>
        <v>0</v>
      </c>
      <c r="H211" s="10">
        <f t="shared" si="11"/>
        <v>0</v>
      </c>
      <c r="I211" s="10">
        <f t="shared" si="11"/>
        <v>0</v>
      </c>
      <c r="J211" s="10">
        <f t="shared" si="11"/>
        <v>0</v>
      </c>
      <c r="K211" s="10">
        <f t="shared" si="11"/>
        <v>0</v>
      </c>
      <c r="L211" s="15">
        <f t="shared" si="11"/>
        <v>0</v>
      </c>
    </row>
  </sheetData>
  <sheetProtection selectLockedCells="1"/>
  <mergeCells count="8">
    <mergeCell ref="B89:E89"/>
    <mergeCell ref="G4:H4"/>
    <mergeCell ref="G5:H5"/>
    <mergeCell ref="G8:H8"/>
    <mergeCell ref="J5:K5"/>
    <mergeCell ref="J8:K8"/>
    <mergeCell ref="J6:K6"/>
    <mergeCell ref="J7:K7"/>
  </mergeCells>
  <pageMargins left="0.17" right="0.17" top="0.27" bottom="0.24" header="0.28999999999999998" footer="0.25"/>
  <pageSetup scale="55" fitToHeight="2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zoomScaleNormal="100" workbookViewId="0">
      <selection activeCell="B32" sqref="B32"/>
    </sheetView>
  </sheetViews>
  <sheetFormatPr defaultRowHeight="13.2"/>
  <cols>
    <col min="1" max="1" width="30.88671875" bestFit="1" customWidth="1"/>
    <col min="2" max="6" width="10.6640625" bestFit="1" customWidth="1"/>
    <col min="7" max="7" width="12.88671875" bestFit="1" customWidth="1"/>
    <col min="8" max="8" width="25.5546875" customWidth="1"/>
    <col min="9" max="9" width="26.109375" customWidth="1"/>
  </cols>
  <sheetData>
    <row r="1" spans="1:7">
      <c r="B1" s="182" t="s">
        <v>84</v>
      </c>
      <c r="C1" s="183" t="s">
        <v>85</v>
      </c>
      <c r="D1" s="183" t="s">
        <v>86</v>
      </c>
      <c r="E1" s="183" t="s">
        <v>87</v>
      </c>
      <c r="F1" s="184" t="s">
        <v>88</v>
      </c>
      <c r="G1" s="164" t="s">
        <v>158</v>
      </c>
    </row>
    <row r="2" spans="1:7">
      <c r="A2" t="s">
        <v>90</v>
      </c>
      <c r="B2" s="165">
        <f>ProjectWrksht!G15+ProjectWrksht!G18+ProjectWrksht!G21+ProjectWrksht!G24+ProjectWrksht!G27</f>
        <v>0</v>
      </c>
      <c r="C2" s="179">
        <f>ProjectWrksht!H15+ProjectWrksht!H18+ProjectWrksht!H21+ProjectWrksht!H24+ProjectWrksht!H27</f>
        <v>0</v>
      </c>
      <c r="D2" s="179">
        <f>ProjectWrksht!I15+ProjectWrksht!I18+ProjectWrksht!I21+ProjectWrksht!I24+ProjectWrksht!I27</f>
        <v>0</v>
      </c>
      <c r="E2" s="179">
        <f>ProjectWrksht!J15+ProjectWrksht!J18+ProjectWrksht!J21+ProjectWrksht!J24+ProjectWrksht!J27</f>
        <v>0</v>
      </c>
      <c r="F2" s="180">
        <f>ProjectWrksht!K15+ProjectWrksht!K18+ProjectWrksht!K21+ProjectWrksht!K24+ProjectWrksht!K27</f>
        <v>0</v>
      </c>
      <c r="G2" s="166">
        <f>SUM(B2:F2)</f>
        <v>0</v>
      </c>
    </row>
    <row r="3" spans="1:7">
      <c r="A3" t="s">
        <v>26</v>
      </c>
      <c r="B3" s="165">
        <f>ProjectWrksht!G32+ProjectWrksht!G37+ProjectWrksht!G42+ProjectWrksht!G47+ProjectWrksht!G52+ProjectWrksht!G57</f>
        <v>0</v>
      </c>
      <c r="C3" s="179">
        <f>ProjectWrksht!H32+ProjectWrksht!H37+ProjectWrksht!H42+ProjectWrksht!H47+ProjectWrksht!H52+ProjectWrksht!H57</f>
        <v>0</v>
      </c>
      <c r="D3" s="179">
        <f>ProjectWrksht!I32+ProjectWrksht!I37+ProjectWrksht!I42+ProjectWrksht!I47+ProjectWrksht!I52+ProjectWrksht!I57</f>
        <v>0</v>
      </c>
      <c r="E3" s="179">
        <f>ProjectWrksht!J32+ProjectWrksht!J37+ProjectWrksht!J42+ProjectWrksht!J47+ProjectWrksht!J52+ProjectWrksht!J57</f>
        <v>0</v>
      </c>
      <c r="F3" s="180">
        <f>ProjectWrksht!K32+ProjectWrksht!K37+ProjectWrksht!K42+ProjectWrksht!K47+ProjectWrksht!K52+ProjectWrksht!K57</f>
        <v>0</v>
      </c>
      <c r="G3" s="166">
        <f t="shared" ref="G3:G8" si="0">SUM(B3:F3)</f>
        <v>0</v>
      </c>
    </row>
    <row r="4" spans="1:7">
      <c r="A4" s="186" t="s">
        <v>159</v>
      </c>
      <c r="B4" s="189">
        <f>ProjectWrksht!G63</f>
        <v>0</v>
      </c>
      <c r="C4" s="194">
        <f>ProjectWrksht!H63</f>
        <v>0</v>
      </c>
      <c r="D4" s="194">
        <f>ProjectWrksht!I63</f>
        <v>0</v>
      </c>
      <c r="E4" s="194">
        <f>ProjectWrksht!J63</f>
        <v>0</v>
      </c>
      <c r="F4" s="195">
        <f>ProjectWrksht!K63</f>
        <v>0</v>
      </c>
      <c r="G4" s="196">
        <f t="shared" si="0"/>
        <v>0</v>
      </c>
    </row>
    <row r="5" spans="1:7">
      <c r="B5" s="165"/>
      <c r="C5" s="179"/>
      <c r="D5" s="179"/>
      <c r="E5" s="179"/>
      <c r="F5" s="180"/>
      <c r="G5" s="166"/>
    </row>
    <row r="6" spans="1:7">
      <c r="A6" t="s">
        <v>92</v>
      </c>
      <c r="B6" s="165">
        <f>ProjectWrksht!G64</f>
        <v>0</v>
      </c>
      <c r="C6" s="179">
        <f>ProjectWrksht!H64</f>
        <v>0</v>
      </c>
      <c r="D6" s="179">
        <f>ProjectWrksht!I64</f>
        <v>0</v>
      </c>
      <c r="E6" s="179">
        <f>ProjectWrksht!J64</f>
        <v>0</v>
      </c>
      <c r="F6" s="180">
        <f>ProjectWrksht!K64</f>
        <v>0</v>
      </c>
      <c r="G6" s="166">
        <f t="shared" si="0"/>
        <v>0</v>
      </c>
    </row>
    <row r="7" spans="1:7">
      <c r="A7" s="186" t="s">
        <v>160</v>
      </c>
      <c r="B7" s="189">
        <f>ProjectWrksht!G65</f>
        <v>0</v>
      </c>
      <c r="C7" s="194">
        <f>ProjectWrksht!H65</f>
        <v>0</v>
      </c>
      <c r="D7" s="194">
        <f>ProjectWrksht!I65</f>
        <v>0</v>
      </c>
      <c r="E7" s="194">
        <f>ProjectWrksht!J65</f>
        <v>0</v>
      </c>
      <c r="F7" s="195">
        <f>ProjectWrksht!K65</f>
        <v>0</v>
      </c>
      <c r="G7" s="196">
        <f t="shared" si="0"/>
        <v>0</v>
      </c>
    </row>
    <row r="8" spans="1:7">
      <c r="A8" t="s">
        <v>161</v>
      </c>
      <c r="B8" s="165">
        <f>ProjectWrksht!G66</f>
        <v>0</v>
      </c>
      <c r="C8" s="179">
        <f>ProjectWrksht!H66</f>
        <v>0</v>
      </c>
      <c r="D8" s="179">
        <f>ProjectWrksht!I66</f>
        <v>0</v>
      </c>
      <c r="E8" s="179">
        <f>ProjectWrksht!J66</f>
        <v>0</v>
      </c>
      <c r="F8" s="180">
        <f>ProjectWrksht!K66</f>
        <v>0</v>
      </c>
      <c r="G8" s="166">
        <f t="shared" si="0"/>
        <v>0</v>
      </c>
    </row>
    <row r="9" spans="1:7">
      <c r="B9" s="165"/>
      <c r="C9" s="179"/>
      <c r="D9" s="179"/>
      <c r="E9" s="179"/>
      <c r="F9" s="180"/>
      <c r="G9" s="166"/>
    </row>
    <row r="10" spans="1:7">
      <c r="A10" t="s">
        <v>97</v>
      </c>
      <c r="B10" s="165">
        <f>ProjectWrksht!G67</f>
        <v>0</v>
      </c>
      <c r="C10" s="179">
        <f>ProjectWrksht!H67</f>
        <v>0</v>
      </c>
      <c r="D10" s="179">
        <f>ProjectWrksht!I67</f>
        <v>0</v>
      </c>
      <c r="E10" s="179">
        <f>ProjectWrksht!J67</f>
        <v>0</v>
      </c>
      <c r="F10" s="180">
        <f>ProjectWrksht!K67</f>
        <v>0</v>
      </c>
      <c r="G10" s="166">
        <f t="shared" ref="G10:G29" si="1">SUM(B10:F10)</f>
        <v>0</v>
      </c>
    </row>
    <row r="11" spans="1:7">
      <c r="B11" s="165"/>
      <c r="C11" s="179"/>
      <c r="D11" s="179"/>
      <c r="E11" s="179"/>
      <c r="F11" s="180"/>
      <c r="G11" s="166"/>
    </row>
    <row r="12" spans="1:7">
      <c r="A12" t="s">
        <v>106</v>
      </c>
      <c r="B12" s="165">
        <f>ProjectWrksht!G80</f>
        <v>0</v>
      </c>
      <c r="C12" s="179">
        <f>ProjectWrksht!H80</f>
        <v>0</v>
      </c>
      <c r="D12" s="179">
        <f>ProjectWrksht!I80</f>
        <v>0</v>
      </c>
      <c r="E12" s="179">
        <f>ProjectWrksht!J80</f>
        <v>0</v>
      </c>
      <c r="F12" s="180">
        <f>ProjectWrksht!K80</f>
        <v>0</v>
      </c>
      <c r="G12" s="166">
        <f t="shared" si="1"/>
        <v>0</v>
      </c>
    </row>
    <row r="13" spans="1:7">
      <c r="B13" s="165"/>
      <c r="C13" s="179"/>
      <c r="D13" s="179"/>
      <c r="E13" s="179"/>
      <c r="F13" s="180"/>
      <c r="G13" s="166"/>
    </row>
    <row r="14" spans="1:7">
      <c r="A14" t="s">
        <v>162</v>
      </c>
      <c r="B14" s="165">
        <f>ProjectWrksht!G96</f>
        <v>0</v>
      </c>
      <c r="C14" s="179">
        <f>ProjectWrksht!H96</f>
        <v>0</v>
      </c>
      <c r="D14" s="179">
        <f>ProjectWrksht!I96</f>
        <v>0</v>
      </c>
      <c r="E14" s="179">
        <f>ProjectWrksht!J96</f>
        <v>0</v>
      </c>
      <c r="F14" s="180">
        <f>ProjectWrksht!K96</f>
        <v>0</v>
      </c>
      <c r="G14" s="166">
        <f t="shared" si="1"/>
        <v>0</v>
      </c>
    </row>
    <row r="15" spans="1:7">
      <c r="B15" s="165"/>
      <c r="C15" s="179"/>
      <c r="D15" s="179"/>
      <c r="E15" s="179"/>
      <c r="F15" s="180"/>
      <c r="G15" s="166">
        <f t="shared" si="1"/>
        <v>0</v>
      </c>
    </row>
    <row r="16" spans="1:7">
      <c r="A16" t="s">
        <v>103</v>
      </c>
      <c r="B16" s="165">
        <f>ProjectWrksht!G76</f>
        <v>0</v>
      </c>
      <c r="C16" s="179">
        <f>ProjectWrksht!H76</f>
        <v>0</v>
      </c>
      <c r="D16" s="179">
        <f>ProjectWrksht!I76</f>
        <v>0</v>
      </c>
      <c r="E16" s="179">
        <f>ProjectWrksht!J76</f>
        <v>0</v>
      </c>
      <c r="F16" s="180">
        <f>ProjectWrksht!K76</f>
        <v>0</v>
      </c>
      <c r="G16" s="166">
        <f t="shared" si="1"/>
        <v>0</v>
      </c>
    </row>
    <row r="17" spans="1:10">
      <c r="B17" s="165"/>
      <c r="C17" s="179"/>
      <c r="D17" s="179"/>
      <c r="E17" s="179"/>
      <c r="F17" s="180"/>
      <c r="G17" s="166"/>
    </row>
    <row r="18" spans="1:10">
      <c r="A18" t="s">
        <v>111</v>
      </c>
      <c r="B18" s="165">
        <f>ProjectWrksht!G82</f>
        <v>0</v>
      </c>
      <c r="C18" s="179">
        <f>ProjectWrksht!H82</f>
        <v>0</v>
      </c>
      <c r="D18" s="179">
        <f>ProjectWrksht!I82</f>
        <v>0</v>
      </c>
      <c r="E18" s="179">
        <f>ProjectWrksht!J82</f>
        <v>0</v>
      </c>
      <c r="F18" s="180">
        <f>ProjectWrksht!K82</f>
        <v>0</v>
      </c>
      <c r="G18" s="166">
        <f t="shared" si="1"/>
        <v>0</v>
      </c>
    </row>
    <row r="19" spans="1:10">
      <c r="B19" s="165"/>
      <c r="C19" s="179"/>
      <c r="D19" s="179"/>
      <c r="E19" s="179"/>
      <c r="F19" s="180"/>
      <c r="G19" s="166"/>
    </row>
    <row r="20" spans="1:10">
      <c r="A20" t="s">
        <v>163</v>
      </c>
      <c r="B20" s="165">
        <f>ProjectWrksht!G86</f>
        <v>0</v>
      </c>
      <c r="C20" s="179">
        <f>ProjectWrksht!H86</f>
        <v>0</v>
      </c>
      <c r="D20" s="179">
        <f>ProjectWrksht!I86</f>
        <v>0</v>
      </c>
      <c r="E20" s="179">
        <f>ProjectWrksht!J86</f>
        <v>0</v>
      </c>
      <c r="F20" s="180">
        <f>ProjectWrksht!K86</f>
        <v>0</v>
      </c>
      <c r="G20" s="166">
        <f t="shared" si="1"/>
        <v>0</v>
      </c>
    </row>
    <row r="21" spans="1:10">
      <c r="B21" s="165"/>
      <c r="C21" s="179"/>
      <c r="D21" s="179"/>
      <c r="E21" s="179"/>
      <c r="F21" s="180"/>
      <c r="G21" s="166"/>
    </row>
    <row r="22" spans="1:10">
      <c r="A22" t="s">
        <v>164</v>
      </c>
      <c r="B22" s="165">
        <f>ProjectWrksht!G102+ProjectWrksht!G112</f>
        <v>0</v>
      </c>
      <c r="C22" s="179">
        <f>ProjectWrksht!H102+ProjectWrksht!H112</f>
        <v>0</v>
      </c>
      <c r="D22" s="179">
        <f>ProjectWrksht!I102+ProjectWrksht!I112</f>
        <v>0</v>
      </c>
      <c r="E22" s="179">
        <f>ProjectWrksht!J102+ProjectWrksht!J112</f>
        <v>0</v>
      </c>
      <c r="F22" s="180">
        <f>ProjectWrksht!K102+ProjectWrksht!K112</f>
        <v>0</v>
      </c>
      <c r="G22" s="166">
        <f>SUM(B22:F22)</f>
        <v>0</v>
      </c>
    </row>
    <row r="23" spans="1:10">
      <c r="B23" s="165"/>
      <c r="C23" s="179"/>
      <c r="D23" s="179"/>
      <c r="E23" s="179"/>
      <c r="F23" s="180"/>
      <c r="G23" s="166"/>
    </row>
    <row r="24" spans="1:10">
      <c r="A24" t="s">
        <v>123</v>
      </c>
      <c r="B24" s="165">
        <f>ProjectWrksht!G121</f>
        <v>0</v>
      </c>
      <c r="C24" s="179">
        <f>ProjectWrksht!H121</f>
        <v>0</v>
      </c>
      <c r="D24" s="179">
        <f>ProjectWrksht!I121</f>
        <v>0</v>
      </c>
      <c r="E24" s="179">
        <f>ProjectWrksht!J121</f>
        <v>0</v>
      </c>
      <c r="F24" s="180">
        <f>ProjectWrksht!K121</f>
        <v>0</v>
      </c>
      <c r="G24" s="166">
        <f t="shared" si="1"/>
        <v>0</v>
      </c>
    </row>
    <row r="25" spans="1:10">
      <c r="B25" s="165"/>
      <c r="C25" s="179"/>
      <c r="D25" s="179"/>
      <c r="E25" s="179"/>
      <c r="F25" s="180"/>
      <c r="G25" s="166"/>
    </row>
    <row r="26" spans="1:10">
      <c r="B26" s="167"/>
      <c r="C26" s="168"/>
      <c r="D26" s="168"/>
      <c r="E26" s="168"/>
      <c r="F26" s="181"/>
      <c r="G26" s="166"/>
    </row>
    <row r="27" spans="1:10">
      <c r="A27" s="187" t="s">
        <v>139</v>
      </c>
      <c r="B27" s="165">
        <f>ProjectWrksht!G125</f>
        <v>0</v>
      </c>
      <c r="C27" s="179">
        <f>ProjectWrksht!H125</f>
        <v>0</v>
      </c>
      <c r="D27" s="179">
        <f>ProjectWrksht!I125</f>
        <v>0</v>
      </c>
      <c r="E27" s="179">
        <f>ProjectWrksht!J125</f>
        <v>0</v>
      </c>
      <c r="F27" s="180">
        <f>ProjectWrksht!K125</f>
        <v>0</v>
      </c>
      <c r="G27" s="170">
        <f t="shared" si="1"/>
        <v>0</v>
      </c>
      <c r="H27" s="244" t="s">
        <v>165</v>
      </c>
      <c r="I27" s="171"/>
    </row>
    <row r="28" spans="1:10" ht="14.4" thickBot="1">
      <c r="A28" s="188" t="s">
        <v>148</v>
      </c>
      <c r="B28" s="172">
        <f>IF($A$28=ProjectWrksht!$B$128,ProjectWrksht!G131,0)+IF($A$28=ProjectWrksht!$B$135,ProjectWrksht!G138,0)+IF($A$28=ProjectWrksht!$B$142,ProjectWrksht!G145,0)+IF($A$28=ProjectWrksht!$B$149,ProjectWrksht!G153,0)</f>
        <v>0</v>
      </c>
      <c r="C28" s="173">
        <f>IF($A$28=ProjectWrksht!$B$128,ProjectWrksht!H131,0)+IF($A$28=ProjectWrksht!$B$135,ProjectWrksht!H138,0)+IF($A$28=ProjectWrksht!$B$142,ProjectWrksht!H145,0)+IF($A$28=ProjectWrksht!$B$149,ProjectWrksht!H153,0)</f>
        <v>0</v>
      </c>
      <c r="D28" s="173">
        <f>IF($A$28=ProjectWrksht!$B$128,ProjectWrksht!I131,0)+IF($A$28=ProjectWrksht!$B$135,ProjectWrksht!I138,0)+IF($A$28=ProjectWrksht!$B$142,ProjectWrksht!I145,0)+IF($A$28=ProjectWrksht!$B$149,ProjectWrksht!I153,0)</f>
        <v>0</v>
      </c>
      <c r="E28" s="173">
        <f>IF($A$28=ProjectWrksht!$B$128,ProjectWrksht!J131,0)+IF($A$28=ProjectWrksht!$B$135,ProjectWrksht!J138,0)+IF($A$28=ProjectWrksht!$B$142,ProjectWrksht!J145,0)+IF($A$28=ProjectWrksht!$B$149,ProjectWrksht!J153,0)</f>
        <v>0</v>
      </c>
      <c r="F28" s="185">
        <f>IF($A$28=ProjectWrksht!$B$128,ProjectWrksht!K131,0)+IF($A$28=ProjectWrksht!$B$135,ProjectWrksht!K138,0)+IF($A$28=ProjectWrksht!$B$142,ProjectWrksht!K145,0)+IF($A$28=ProjectWrksht!$B$149,ProjectWrksht!K153,0)</f>
        <v>0</v>
      </c>
      <c r="G28" s="174">
        <f t="shared" si="1"/>
        <v>0</v>
      </c>
      <c r="H28" s="235">
        <f>G29*0.3</f>
        <v>0</v>
      </c>
      <c r="I28" s="10" t="s">
        <v>166</v>
      </c>
      <c r="J28" s="24"/>
    </row>
    <row r="29" spans="1:10" ht="15" thickTop="1" thickBot="1">
      <c r="A29" s="190" t="s">
        <v>167</v>
      </c>
      <c r="B29" s="167">
        <f>SUM(B27:B28)</f>
        <v>0</v>
      </c>
      <c r="C29" s="168">
        <f>SUM(C27:C28)</f>
        <v>0</v>
      </c>
      <c r="D29" s="168">
        <f>SUM(D27:D28)</f>
        <v>0</v>
      </c>
      <c r="E29" s="168">
        <f>SUM(E27:E28)</f>
        <v>0</v>
      </c>
      <c r="F29" s="168">
        <f>SUM(F27:F28)</f>
        <v>0</v>
      </c>
      <c r="G29" s="169">
        <f t="shared" si="1"/>
        <v>0</v>
      </c>
      <c r="H29" s="236">
        <f>SUM(H30:H32)</f>
        <v>0</v>
      </c>
      <c r="I29" s="234" t="s">
        <v>168</v>
      </c>
      <c r="J29" s="24"/>
    </row>
    <row r="30" spans="1:10" ht="13.8">
      <c r="A30" s="267"/>
      <c r="H30" s="237">
        <f>G28</f>
        <v>0</v>
      </c>
      <c r="I30" s="233" t="s">
        <v>169</v>
      </c>
      <c r="J30" s="24"/>
    </row>
    <row r="31" spans="1:10" ht="13.8">
      <c r="A31" s="267"/>
      <c r="H31" s="238">
        <f>B31</f>
        <v>0</v>
      </c>
      <c r="I31" s="233" t="s">
        <v>170</v>
      </c>
      <c r="J31" s="24"/>
    </row>
    <row r="32" spans="1:10" ht="13.8">
      <c r="A32" s="267"/>
      <c r="H32" s="238">
        <f>B32</f>
        <v>0</v>
      </c>
      <c r="I32" s="233" t="s">
        <v>171</v>
      </c>
      <c r="J32" s="7"/>
    </row>
    <row r="33" spans="7:10" ht="13.8">
      <c r="H33" s="239"/>
      <c r="I33" s="233"/>
      <c r="J33" s="7"/>
    </row>
    <row r="34" spans="7:10" ht="13.8">
      <c r="H34" s="240">
        <f>H28-H29</f>
        <v>0</v>
      </c>
      <c r="I34" s="233" t="s">
        <v>172</v>
      </c>
      <c r="J34" s="7"/>
    </row>
    <row r="35" spans="7:10" ht="13.8">
      <c r="G35" s="243"/>
      <c r="H35" s="241"/>
      <c r="I35" s="233"/>
      <c r="J35" s="1"/>
    </row>
    <row r="36" spans="7:10" ht="13.8">
      <c r="H36" s="242"/>
      <c r="I36" s="233"/>
      <c r="J36" s="7"/>
    </row>
    <row r="37" spans="7:10" ht="13.8">
      <c r="H37" s="242"/>
      <c r="I37" s="233"/>
      <c r="J37" s="7"/>
    </row>
    <row r="38" spans="7:10" ht="13.8">
      <c r="H38" s="10"/>
      <c r="I38" s="233"/>
      <c r="J38" s="7"/>
    </row>
  </sheetData>
  <pageMargins left="0.7" right="0.7" top="0.75" bottom="0.75" header="0.3" footer="0.3"/>
  <pageSetup scale="47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TABLES!$A$130:$A$134</xm:f>
          </x14:formula1>
          <xm:sqref>A28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6"/>
  <sheetViews>
    <sheetView topLeftCell="A6" zoomScale="98" zoomScaleNormal="98" workbookViewId="0">
      <selection activeCell="C50" sqref="C50"/>
    </sheetView>
  </sheetViews>
  <sheetFormatPr defaultColWidth="9.109375" defaultRowHeight="13.2"/>
  <cols>
    <col min="1" max="1" width="48.5546875" style="108" customWidth="1"/>
    <col min="2" max="2" width="22.88671875" style="108" customWidth="1"/>
    <col min="3" max="3" width="14.33203125" style="108" customWidth="1"/>
    <col min="4" max="8" width="14.109375" style="108" bestFit="1" customWidth="1"/>
    <col min="9" max="9" width="12" style="108" customWidth="1"/>
    <col min="10" max="10" width="11.5546875" style="108" customWidth="1"/>
    <col min="11" max="11" width="44.88671875" style="108" bestFit="1" customWidth="1"/>
    <col min="12" max="12" width="11" style="108" customWidth="1"/>
    <col min="13" max="13" width="23.6640625" style="108" bestFit="1" customWidth="1"/>
    <col min="14" max="15" width="11.88671875" style="108" bestFit="1" customWidth="1"/>
    <col min="16" max="16384" width="9.109375" style="108"/>
  </cols>
  <sheetData>
    <row r="1" spans="1:13">
      <c r="A1" s="108" t="s">
        <v>74</v>
      </c>
      <c r="B1" s="108" t="s">
        <v>173</v>
      </c>
      <c r="D1" s="131" t="s">
        <v>173</v>
      </c>
      <c r="I1" s="108" t="s">
        <v>174</v>
      </c>
      <c r="J1" s="108" t="s">
        <v>175</v>
      </c>
    </row>
    <row r="2" spans="1:13" ht="14.4">
      <c r="A2" s="109">
        <v>44742</v>
      </c>
      <c r="B2" s="108" t="s">
        <v>176</v>
      </c>
      <c r="D2" s="132" t="s">
        <v>4</v>
      </c>
    </row>
    <row r="3" spans="1:13" ht="14.4">
      <c r="A3" s="109">
        <f t="shared" ref="A3:A9" si="0">DATE(YEAR(A2)+1,MONTH(A2),DAY(A2))</f>
        <v>45107</v>
      </c>
      <c r="B3" s="108" t="s">
        <v>177</v>
      </c>
      <c r="D3" s="133" t="s">
        <v>178</v>
      </c>
    </row>
    <row r="4" spans="1:13" ht="14.4">
      <c r="A4" s="109">
        <f t="shared" si="0"/>
        <v>45473</v>
      </c>
      <c r="B4" s="108" t="s">
        <v>179</v>
      </c>
    </row>
    <row r="5" spans="1:13" ht="14.4">
      <c r="A5" s="109">
        <f t="shared" si="0"/>
        <v>45838</v>
      </c>
      <c r="B5" s="108" t="s">
        <v>180</v>
      </c>
    </row>
    <row r="6" spans="1:13" ht="14.4">
      <c r="A6" s="109">
        <f t="shared" si="0"/>
        <v>46203</v>
      </c>
      <c r="B6" s="108" t="s">
        <v>181</v>
      </c>
    </row>
    <row r="7" spans="1:13" ht="14.4">
      <c r="A7" s="109">
        <f t="shared" si="0"/>
        <v>46568</v>
      </c>
      <c r="B7" s="108" t="s">
        <v>182</v>
      </c>
      <c r="F7" s="110"/>
    </row>
    <row r="8" spans="1:13" ht="14.4">
      <c r="A8" s="109">
        <f t="shared" si="0"/>
        <v>46934</v>
      </c>
      <c r="B8" s="108" t="s">
        <v>183</v>
      </c>
    </row>
    <row r="9" spans="1:13" ht="14.4">
      <c r="A9" s="109">
        <f t="shared" si="0"/>
        <v>47299</v>
      </c>
      <c r="B9" s="108" t="s">
        <v>184</v>
      </c>
    </row>
    <row r="10" spans="1:13">
      <c r="J10" s="108" t="s">
        <v>185</v>
      </c>
      <c r="M10" s="108" t="s">
        <v>186</v>
      </c>
    </row>
    <row r="11" spans="1:13">
      <c r="A11" s="126" t="s">
        <v>187</v>
      </c>
      <c r="B11" s="126" t="s">
        <v>188</v>
      </c>
      <c r="C11" s="126" t="s">
        <v>176</v>
      </c>
      <c r="D11" s="126" t="s">
        <v>177</v>
      </c>
      <c r="E11" s="126" t="s">
        <v>179</v>
      </c>
      <c r="F11" s="126" t="s">
        <v>180</v>
      </c>
      <c r="G11" s="126" t="s">
        <v>181</v>
      </c>
      <c r="H11" s="126" t="s">
        <v>182</v>
      </c>
      <c r="I11" s="126" t="s">
        <v>189</v>
      </c>
      <c r="L11" s="108" t="s">
        <v>190</v>
      </c>
      <c r="M11" s="278" t="s">
        <v>191</v>
      </c>
    </row>
    <row r="12" spans="1:13">
      <c r="A12" s="212" t="s">
        <v>192</v>
      </c>
      <c r="B12" s="212" t="s">
        <v>193</v>
      </c>
      <c r="C12" s="213">
        <v>74100</v>
      </c>
      <c r="D12" s="213">
        <f>ROUNDUP(C12*1.03,-2)</f>
        <v>76400</v>
      </c>
      <c r="E12" s="213">
        <f t="shared" ref="E12:H12" si="1">ROUNDUP(D12*1.03,-2)</f>
        <v>78700</v>
      </c>
      <c r="F12" s="213">
        <f t="shared" si="1"/>
        <v>81100</v>
      </c>
      <c r="G12" s="213">
        <f t="shared" si="1"/>
        <v>83600</v>
      </c>
      <c r="H12" s="213">
        <f t="shared" si="1"/>
        <v>86200</v>
      </c>
      <c r="I12" s="213" t="s">
        <v>194</v>
      </c>
      <c r="L12" s="108" t="s">
        <v>195</v>
      </c>
      <c r="M12" s="108" t="s">
        <v>196</v>
      </c>
    </row>
    <row r="13" spans="1:13">
      <c r="A13" s="128" t="s">
        <v>197</v>
      </c>
      <c r="B13" s="128" t="s">
        <v>193</v>
      </c>
      <c r="C13" s="129">
        <v>78000</v>
      </c>
      <c r="D13" s="213">
        <f t="shared" ref="D13:D53" si="2">ROUNDUP(C13*1.03,-2)</f>
        <v>80400</v>
      </c>
      <c r="E13" s="213">
        <f t="shared" ref="E13:H13" si="3">ROUNDUP(D13*1.03,-2)</f>
        <v>82900</v>
      </c>
      <c r="F13" s="213">
        <f t="shared" si="3"/>
        <v>85400</v>
      </c>
      <c r="G13" s="213">
        <f t="shared" si="3"/>
        <v>88000</v>
      </c>
      <c r="H13" s="213">
        <f t="shared" si="3"/>
        <v>90700</v>
      </c>
      <c r="I13" s="129" t="s">
        <v>194</v>
      </c>
      <c r="L13" s="108" t="s">
        <v>195</v>
      </c>
      <c r="M13" s="108" t="s">
        <v>196</v>
      </c>
    </row>
    <row r="14" spans="1:13">
      <c r="A14" s="108" t="s">
        <v>198</v>
      </c>
      <c r="B14" s="108" t="s">
        <v>193</v>
      </c>
      <c r="C14" s="127">
        <v>82100</v>
      </c>
      <c r="D14" s="213">
        <f t="shared" si="2"/>
        <v>84600</v>
      </c>
      <c r="E14" s="213">
        <f t="shared" ref="E14:H14" si="4">ROUNDUP(D14*1.03,-2)</f>
        <v>87200</v>
      </c>
      <c r="F14" s="213">
        <f t="shared" si="4"/>
        <v>89900</v>
      </c>
      <c r="G14" s="213">
        <f t="shared" si="4"/>
        <v>92600</v>
      </c>
      <c r="H14" s="213">
        <f t="shared" si="4"/>
        <v>95400</v>
      </c>
      <c r="I14" s="127" t="s">
        <v>194</v>
      </c>
      <c r="L14" s="108" t="s">
        <v>195</v>
      </c>
      <c r="M14" s="108" t="s">
        <v>196</v>
      </c>
    </row>
    <row r="15" spans="1:13">
      <c r="A15" s="128" t="s">
        <v>199</v>
      </c>
      <c r="B15" s="128" t="s">
        <v>193</v>
      </c>
      <c r="C15" s="129">
        <v>85900</v>
      </c>
      <c r="D15" s="213">
        <f t="shared" si="2"/>
        <v>88500</v>
      </c>
      <c r="E15" s="213">
        <f t="shared" ref="E15:H15" si="5">ROUNDUP(D15*1.03,-2)</f>
        <v>91200</v>
      </c>
      <c r="F15" s="213">
        <f t="shared" si="5"/>
        <v>94000</v>
      </c>
      <c r="G15" s="213">
        <f t="shared" si="5"/>
        <v>96900</v>
      </c>
      <c r="H15" s="213">
        <f t="shared" si="5"/>
        <v>99900</v>
      </c>
      <c r="I15" s="129" t="s">
        <v>194</v>
      </c>
      <c r="L15" s="108" t="s">
        <v>195</v>
      </c>
      <c r="M15" s="108" t="s">
        <v>196</v>
      </c>
    </row>
    <row r="16" spans="1:13">
      <c r="A16" s="108" t="s">
        <v>200</v>
      </c>
      <c r="B16" s="108" t="s">
        <v>193</v>
      </c>
      <c r="C16" s="127">
        <v>90000</v>
      </c>
      <c r="D16" s="213">
        <f t="shared" si="2"/>
        <v>92700</v>
      </c>
      <c r="E16" s="213">
        <f t="shared" ref="E16:H16" si="6">ROUNDUP(D16*1.03,-2)</f>
        <v>95500</v>
      </c>
      <c r="F16" s="213">
        <f t="shared" si="6"/>
        <v>98400</v>
      </c>
      <c r="G16" s="213">
        <f t="shared" si="6"/>
        <v>101400</v>
      </c>
      <c r="H16" s="213">
        <f t="shared" si="6"/>
        <v>104500</v>
      </c>
      <c r="I16" s="127" t="s">
        <v>194</v>
      </c>
      <c r="L16" s="108" t="s">
        <v>195</v>
      </c>
      <c r="M16" s="108" t="s">
        <v>196</v>
      </c>
    </row>
    <row r="17" spans="1:13">
      <c r="A17" s="128" t="s">
        <v>201</v>
      </c>
      <c r="B17" s="128" t="s">
        <v>193</v>
      </c>
      <c r="C17" s="129">
        <v>94200</v>
      </c>
      <c r="D17" s="213">
        <f t="shared" si="2"/>
        <v>97100</v>
      </c>
      <c r="E17" s="213">
        <f t="shared" ref="E17:H17" si="7">ROUNDUP(D17*1.03,-2)</f>
        <v>100100</v>
      </c>
      <c r="F17" s="213">
        <f t="shared" si="7"/>
        <v>103200</v>
      </c>
      <c r="G17" s="213">
        <f t="shared" si="7"/>
        <v>106300</v>
      </c>
      <c r="H17" s="213">
        <f t="shared" si="7"/>
        <v>109500</v>
      </c>
      <c r="I17" s="129" t="s">
        <v>194</v>
      </c>
      <c r="L17" s="108" t="s">
        <v>195</v>
      </c>
      <c r="M17" s="108" t="s">
        <v>196</v>
      </c>
    </row>
    <row r="18" spans="1:13">
      <c r="A18" s="108" t="s">
        <v>202</v>
      </c>
      <c r="B18" s="108" t="s">
        <v>193</v>
      </c>
      <c r="C18" s="127">
        <v>91700</v>
      </c>
      <c r="D18" s="213">
        <f t="shared" si="2"/>
        <v>94500</v>
      </c>
      <c r="E18" s="213">
        <f t="shared" ref="E18:H18" si="8">ROUNDUP(D18*1.03,-2)</f>
        <v>97400</v>
      </c>
      <c r="F18" s="213">
        <f t="shared" si="8"/>
        <v>100400</v>
      </c>
      <c r="G18" s="213">
        <f t="shared" si="8"/>
        <v>103500</v>
      </c>
      <c r="H18" s="213">
        <f t="shared" si="8"/>
        <v>106700</v>
      </c>
      <c r="I18" s="127" t="s">
        <v>194</v>
      </c>
      <c r="L18" s="108" t="s">
        <v>203</v>
      </c>
      <c r="M18" s="108" t="s">
        <v>196</v>
      </c>
    </row>
    <row r="19" spans="1:13">
      <c r="A19" s="128" t="s">
        <v>204</v>
      </c>
      <c r="B19" s="128" t="s">
        <v>193</v>
      </c>
      <c r="C19" s="129">
        <v>97500</v>
      </c>
      <c r="D19" s="213">
        <f t="shared" si="2"/>
        <v>100500</v>
      </c>
      <c r="E19" s="213">
        <f t="shared" ref="E19:H19" si="9">ROUNDUP(D19*1.03,-2)</f>
        <v>103600</v>
      </c>
      <c r="F19" s="213">
        <f t="shared" si="9"/>
        <v>106800</v>
      </c>
      <c r="G19" s="213">
        <f t="shared" si="9"/>
        <v>110100</v>
      </c>
      <c r="H19" s="213">
        <f t="shared" si="9"/>
        <v>113500</v>
      </c>
      <c r="I19" s="129" t="s">
        <v>194</v>
      </c>
      <c r="L19" s="108" t="s">
        <v>203</v>
      </c>
      <c r="M19" s="108" t="s">
        <v>196</v>
      </c>
    </row>
    <row r="20" spans="1:13">
      <c r="A20" s="108" t="s">
        <v>205</v>
      </c>
      <c r="B20" s="108" t="s">
        <v>193</v>
      </c>
      <c r="C20" s="127">
        <v>102700</v>
      </c>
      <c r="D20" s="213">
        <f t="shared" si="2"/>
        <v>105800</v>
      </c>
      <c r="E20" s="213">
        <f t="shared" ref="E20:H20" si="10">ROUNDUP(D20*1.03,-2)</f>
        <v>109000</v>
      </c>
      <c r="F20" s="213">
        <f t="shared" si="10"/>
        <v>112300</v>
      </c>
      <c r="G20" s="213">
        <f t="shared" si="10"/>
        <v>115700</v>
      </c>
      <c r="H20" s="213">
        <f t="shared" si="10"/>
        <v>119200</v>
      </c>
      <c r="I20" s="127" t="s">
        <v>194</v>
      </c>
      <c r="L20" s="108" t="s">
        <v>203</v>
      </c>
      <c r="M20" s="108" t="s">
        <v>196</v>
      </c>
    </row>
    <row r="21" spans="1:13">
      <c r="A21" s="128" t="s">
        <v>206</v>
      </c>
      <c r="B21" s="128" t="s">
        <v>193</v>
      </c>
      <c r="C21" s="129">
        <v>108400</v>
      </c>
      <c r="D21" s="213">
        <f t="shared" si="2"/>
        <v>111700</v>
      </c>
      <c r="E21" s="213">
        <f t="shared" ref="E21:H21" si="11">ROUNDUP(D21*1.03,-2)</f>
        <v>115100</v>
      </c>
      <c r="F21" s="213">
        <f t="shared" si="11"/>
        <v>118600</v>
      </c>
      <c r="G21" s="213">
        <f t="shared" si="11"/>
        <v>122200</v>
      </c>
      <c r="H21" s="213">
        <f t="shared" si="11"/>
        <v>125900</v>
      </c>
      <c r="I21" s="129" t="s">
        <v>194</v>
      </c>
      <c r="L21" s="108" t="s">
        <v>203</v>
      </c>
      <c r="M21" s="108" t="s">
        <v>196</v>
      </c>
    </row>
    <row r="22" spans="1:13">
      <c r="A22" s="108" t="s">
        <v>207</v>
      </c>
      <c r="B22" s="108" t="s">
        <v>193</v>
      </c>
      <c r="C22" s="127">
        <v>114200</v>
      </c>
      <c r="D22" s="213">
        <f t="shared" si="2"/>
        <v>117700</v>
      </c>
      <c r="E22" s="213">
        <f t="shared" ref="E22:H22" si="12">ROUNDUP(D22*1.03,-2)</f>
        <v>121300</v>
      </c>
      <c r="F22" s="213">
        <f t="shared" si="12"/>
        <v>125000</v>
      </c>
      <c r="G22" s="213">
        <f t="shared" si="12"/>
        <v>128800</v>
      </c>
      <c r="H22" s="213">
        <f t="shared" si="12"/>
        <v>132700</v>
      </c>
      <c r="I22" s="127" t="s">
        <v>194</v>
      </c>
      <c r="L22" s="108" t="s">
        <v>203</v>
      </c>
      <c r="M22" s="108" t="s">
        <v>196</v>
      </c>
    </row>
    <row r="23" spans="1:13">
      <c r="A23" s="128" t="s">
        <v>208</v>
      </c>
      <c r="B23" s="128" t="s">
        <v>193</v>
      </c>
      <c r="C23" s="129">
        <v>120000</v>
      </c>
      <c r="D23" s="213">
        <f t="shared" si="2"/>
        <v>123600</v>
      </c>
      <c r="E23" s="213">
        <f t="shared" ref="E23:H23" si="13">ROUNDUP(D23*1.03,-2)</f>
        <v>127400</v>
      </c>
      <c r="F23" s="213">
        <f t="shared" si="13"/>
        <v>131300</v>
      </c>
      <c r="G23" s="213">
        <f t="shared" si="13"/>
        <v>135300</v>
      </c>
      <c r="H23" s="213">
        <f t="shared" si="13"/>
        <v>139400</v>
      </c>
      <c r="I23" s="129" t="s">
        <v>194</v>
      </c>
      <c r="L23" s="108" t="s">
        <v>203</v>
      </c>
      <c r="M23" s="108" t="s">
        <v>196</v>
      </c>
    </row>
    <row r="24" spans="1:13">
      <c r="A24" s="108" t="s">
        <v>209</v>
      </c>
      <c r="B24" s="108" t="s">
        <v>193</v>
      </c>
      <c r="C24" s="127">
        <v>62400</v>
      </c>
      <c r="D24" s="213">
        <f t="shared" si="2"/>
        <v>64300</v>
      </c>
      <c r="E24" s="213">
        <f t="shared" ref="E24:H24" si="14">ROUNDUP(D24*1.03,-2)</f>
        <v>66300</v>
      </c>
      <c r="F24" s="213">
        <f t="shared" si="14"/>
        <v>68300</v>
      </c>
      <c r="G24" s="213">
        <f t="shared" si="14"/>
        <v>70400</v>
      </c>
      <c r="H24" s="213">
        <f t="shared" si="14"/>
        <v>72600</v>
      </c>
      <c r="I24" s="127" t="s">
        <v>194</v>
      </c>
      <c r="L24" s="108" t="s">
        <v>210</v>
      </c>
      <c r="M24" s="108" t="s">
        <v>196</v>
      </c>
    </row>
    <row r="25" spans="1:13">
      <c r="A25" s="128" t="s">
        <v>211</v>
      </c>
      <c r="B25" s="128" t="s">
        <v>193</v>
      </c>
      <c r="C25" s="129">
        <v>65700</v>
      </c>
      <c r="D25" s="213">
        <f t="shared" si="2"/>
        <v>67700</v>
      </c>
      <c r="E25" s="213">
        <f t="shared" ref="E25:H25" si="15">ROUNDUP(D25*1.03,-2)</f>
        <v>69800</v>
      </c>
      <c r="F25" s="213">
        <f t="shared" si="15"/>
        <v>71900</v>
      </c>
      <c r="G25" s="213">
        <f t="shared" si="15"/>
        <v>74100</v>
      </c>
      <c r="H25" s="213">
        <f t="shared" si="15"/>
        <v>76400</v>
      </c>
      <c r="I25" s="129" t="s">
        <v>194</v>
      </c>
      <c r="L25" s="108" t="s">
        <v>210</v>
      </c>
      <c r="M25" s="108" t="s">
        <v>196</v>
      </c>
    </row>
    <row r="26" spans="1:13">
      <c r="A26" s="108" t="s">
        <v>212</v>
      </c>
      <c r="B26" s="108" t="s">
        <v>193</v>
      </c>
      <c r="C26" s="127">
        <v>69000</v>
      </c>
      <c r="D26" s="213">
        <f t="shared" si="2"/>
        <v>71100</v>
      </c>
      <c r="E26" s="213">
        <f t="shared" ref="E26:H26" si="16">ROUNDUP(D26*1.03,-2)</f>
        <v>73300</v>
      </c>
      <c r="F26" s="213">
        <f t="shared" si="16"/>
        <v>75500</v>
      </c>
      <c r="G26" s="213">
        <f t="shared" si="16"/>
        <v>77800</v>
      </c>
      <c r="H26" s="213">
        <f t="shared" si="16"/>
        <v>80200</v>
      </c>
      <c r="I26" s="127" t="s">
        <v>194</v>
      </c>
      <c r="L26" s="108" t="s">
        <v>210</v>
      </c>
      <c r="M26" s="108" t="s">
        <v>196</v>
      </c>
    </row>
    <row r="27" spans="1:13">
      <c r="A27" s="128" t="s">
        <v>213</v>
      </c>
      <c r="B27" s="128" t="s">
        <v>193</v>
      </c>
      <c r="C27" s="129">
        <v>90100</v>
      </c>
      <c r="D27" s="213">
        <f t="shared" si="2"/>
        <v>92900</v>
      </c>
      <c r="E27" s="213">
        <f t="shared" ref="E27:H27" si="17">ROUNDUP(D27*1.03,-2)</f>
        <v>95700</v>
      </c>
      <c r="F27" s="213">
        <f t="shared" si="17"/>
        <v>98600</v>
      </c>
      <c r="G27" s="213">
        <f t="shared" si="17"/>
        <v>101600</v>
      </c>
      <c r="H27" s="213">
        <f t="shared" si="17"/>
        <v>104700</v>
      </c>
      <c r="I27" s="129" t="s">
        <v>194</v>
      </c>
      <c r="L27" s="108" t="s">
        <v>195</v>
      </c>
      <c r="M27" s="108" t="s">
        <v>196</v>
      </c>
    </row>
    <row r="28" spans="1:13">
      <c r="A28" s="108" t="s">
        <v>214</v>
      </c>
      <c r="B28" s="108" t="s">
        <v>193</v>
      </c>
      <c r="C28" s="127">
        <v>94300</v>
      </c>
      <c r="D28" s="213">
        <f t="shared" si="2"/>
        <v>97200</v>
      </c>
      <c r="E28" s="213">
        <f t="shared" ref="E28:H28" si="18">ROUNDUP(D28*1.03,-2)</f>
        <v>100200</v>
      </c>
      <c r="F28" s="213">
        <f t="shared" si="18"/>
        <v>103300</v>
      </c>
      <c r="G28" s="213">
        <f t="shared" si="18"/>
        <v>106400</v>
      </c>
      <c r="H28" s="213">
        <f t="shared" si="18"/>
        <v>109600</v>
      </c>
      <c r="I28" s="127" t="s">
        <v>194</v>
      </c>
      <c r="L28" s="108" t="s">
        <v>195</v>
      </c>
      <c r="M28" s="108" t="s">
        <v>196</v>
      </c>
    </row>
    <row r="29" spans="1:13">
      <c r="A29" s="128" t="s">
        <v>215</v>
      </c>
      <c r="B29" s="128" t="s">
        <v>193</v>
      </c>
      <c r="C29" s="129">
        <v>99000</v>
      </c>
      <c r="D29" s="213">
        <f t="shared" si="2"/>
        <v>102000</v>
      </c>
      <c r="E29" s="213">
        <f t="shared" ref="E29:H29" si="19">ROUNDUP(D29*1.03,-2)</f>
        <v>105100</v>
      </c>
      <c r="F29" s="213">
        <f t="shared" si="19"/>
        <v>108300</v>
      </c>
      <c r="G29" s="213">
        <f t="shared" si="19"/>
        <v>111600</v>
      </c>
      <c r="H29" s="213">
        <f t="shared" si="19"/>
        <v>115000</v>
      </c>
      <c r="I29" s="129" t="s">
        <v>194</v>
      </c>
      <c r="L29" s="108" t="s">
        <v>195</v>
      </c>
      <c r="M29" s="108" t="s">
        <v>196</v>
      </c>
    </row>
    <row r="30" spans="1:13">
      <c r="A30" s="108" t="s">
        <v>216</v>
      </c>
      <c r="B30" s="108" t="s">
        <v>193</v>
      </c>
      <c r="C30" s="127">
        <v>103900</v>
      </c>
      <c r="D30" s="213">
        <f t="shared" si="2"/>
        <v>107100</v>
      </c>
      <c r="E30" s="213">
        <f t="shared" ref="E30:H30" si="20">ROUNDUP(D30*1.03,-2)</f>
        <v>110400</v>
      </c>
      <c r="F30" s="213">
        <f t="shared" si="20"/>
        <v>113800</v>
      </c>
      <c r="G30" s="213">
        <f t="shared" si="20"/>
        <v>117300</v>
      </c>
      <c r="H30" s="213">
        <f t="shared" si="20"/>
        <v>120900</v>
      </c>
      <c r="I30" s="127" t="s">
        <v>194</v>
      </c>
      <c r="L30" s="108" t="s">
        <v>195</v>
      </c>
      <c r="M30" s="108" t="s">
        <v>196</v>
      </c>
    </row>
    <row r="31" spans="1:13">
      <c r="A31" s="128" t="s">
        <v>217</v>
      </c>
      <c r="B31" s="128" t="s">
        <v>193</v>
      </c>
      <c r="C31" s="129">
        <v>111400</v>
      </c>
      <c r="D31" s="213">
        <f t="shared" si="2"/>
        <v>114800</v>
      </c>
      <c r="E31" s="213">
        <f t="shared" ref="E31:H31" si="21">ROUNDUP(D31*1.03,-2)</f>
        <v>118300</v>
      </c>
      <c r="F31" s="213">
        <f t="shared" si="21"/>
        <v>121900</v>
      </c>
      <c r="G31" s="213">
        <f t="shared" si="21"/>
        <v>125600</v>
      </c>
      <c r="H31" s="213">
        <f t="shared" si="21"/>
        <v>129400</v>
      </c>
      <c r="I31" s="129" t="s">
        <v>194</v>
      </c>
      <c r="L31" s="108" t="s">
        <v>195</v>
      </c>
      <c r="M31" s="108" t="s">
        <v>196</v>
      </c>
    </row>
    <row r="32" spans="1:13">
      <c r="A32" s="108" t="s">
        <v>218</v>
      </c>
      <c r="B32" s="108" t="s">
        <v>193</v>
      </c>
      <c r="C32" s="127">
        <v>114300</v>
      </c>
      <c r="D32" s="213">
        <f t="shared" si="2"/>
        <v>117800</v>
      </c>
      <c r="E32" s="213">
        <f t="shared" ref="E32:H32" si="22">ROUNDUP(D32*1.03,-2)</f>
        <v>121400</v>
      </c>
      <c r="F32" s="213">
        <f t="shared" si="22"/>
        <v>125100</v>
      </c>
      <c r="G32" s="213">
        <f t="shared" si="22"/>
        <v>128900</v>
      </c>
      <c r="H32" s="213">
        <f t="shared" si="22"/>
        <v>132800</v>
      </c>
      <c r="I32" s="127" t="s">
        <v>194</v>
      </c>
      <c r="L32" s="108" t="s">
        <v>203</v>
      </c>
      <c r="M32" s="108" t="s">
        <v>196</v>
      </c>
    </row>
    <row r="33" spans="1:13">
      <c r="A33" s="128" t="s">
        <v>219</v>
      </c>
      <c r="B33" s="128" t="s">
        <v>193</v>
      </c>
      <c r="C33" s="129">
        <v>120100</v>
      </c>
      <c r="D33" s="213">
        <f t="shared" si="2"/>
        <v>123800</v>
      </c>
      <c r="E33" s="213">
        <f t="shared" ref="E33:H33" si="23">ROUNDUP(D33*1.03,-2)</f>
        <v>127600</v>
      </c>
      <c r="F33" s="213">
        <f t="shared" si="23"/>
        <v>131500</v>
      </c>
      <c r="G33" s="213">
        <f t="shared" si="23"/>
        <v>135500</v>
      </c>
      <c r="H33" s="213">
        <f t="shared" si="23"/>
        <v>139600</v>
      </c>
      <c r="I33" s="129" t="s">
        <v>194</v>
      </c>
      <c r="L33" s="108" t="s">
        <v>203</v>
      </c>
      <c r="M33" s="108" t="s">
        <v>196</v>
      </c>
    </row>
    <row r="34" spans="1:13">
      <c r="A34" s="108" t="s">
        <v>220</v>
      </c>
      <c r="B34" s="108" t="s">
        <v>193</v>
      </c>
      <c r="C34" s="127">
        <v>126400</v>
      </c>
      <c r="D34" s="213">
        <f t="shared" si="2"/>
        <v>130200</v>
      </c>
      <c r="E34" s="213">
        <f t="shared" ref="E34:H34" si="24">ROUNDUP(D34*1.03,-2)</f>
        <v>134200</v>
      </c>
      <c r="F34" s="213">
        <f t="shared" si="24"/>
        <v>138300</v>
      </c>
      <c r="G34" s="213">
        <f t="shared" si="24"/>
        <v>142500</v>
      </c>
      <c r="H34" s="213">
        <f t="shared" si="24"/>
        <v>146800</v>
      </c>
      <c r="I34" s="127" t="s">
        <v>194</v>
      </c>
      <c r="L34" s="108" t="s">
        <v>203</v>
      </c>
      <c r="M34" s="108" t="s">
        <v>196</v>
      </c>
    </row>
    <row r="35" spans="1:13">
      <c r="A35" s="128" t="s">
        <v>221</v>
      </c>
      <c r="B35" s="128" t="s">
        <v>193</v>
      </c>
      <c r="C35" s="129">
        <v>134000</v>
      </c>
      <c r="D35" s="213">
        <f t="shared" si="2"/>
        <v>138100</v>
      </c>
      <c r="E35" s="213">
        <f t="shared" ref="E35:H35" si="25">ROUNDUP(D35*1.03,-2)</f>
        <v>142300</v>
      </c>
      <c r="F35" s="213">
        <f t="shared" si="25"/>
        <v>146600</v>
      </c>
      <c r="G35" s="213">
        <f t="shared" si="25"/>
        <v>151000</v>
      </c>
      <c r="H35" s="213">
        <f t="shared" si="25"/>
        <v>155600</v>
      </c>
      <c r="I35" s="129" t="s">
        <v>194</v>
      </c>
      <c r="L35" s="108" t="s">
        <v>203</v>
      </c>
      <c r="M35" s="108" t="s">
        <v>196</v>
      </c>
    </row>
    <row r="36" spans="1:13">
      <c r="A36" s="108" t="s">
        <v>222</v>
      </c>
      <c r="B36" s="108" t="s">
        <v>193</v>
      </c>
      <c r="C36" s="127">
        <v>144200</v>
      </c>
      <c r="D36" s="213">
        <f t="shared" si="2"/>
        <v>148600</v>
      </c>
      <c r="E36" s="213">
        <f t="shared" ref="E36:H36" si="26">ROUNDUP(D36*1.03,-2)</f>
        <v>153100</v>
      </c>
      <c r="F36" s="213">
        <f t="shared" si="26"/>
        <v>157700</v>
      </c>
      <c r="G36" s="213">
        <f t="shared" si="26"/>
        <v>162500</v>
      </c>
      <c r="H36" s="213">
        <f t="shared" si="26"/>
        <v>167400</v>
      </c>
      <c r="I36" s="127" t="s">
        <v>194</v>
      </c>
      <c r="L36" s="108" t="s">
        <v>203</v>
      </c>
      <c r="M36" s="108" t="s">
        <v>196</v>
      </c>
    </row>
    <row r="37" spans="1:13">
      <c r="A37" s="128" t="s">
        <v>223</v>
      </c>
      <c r="B37" s="128" t="s">
        <v>193</v>
      </c>
      <c r="C37" s="129">
        <v>74100</v>
      </c>
      <c r="D37" s="213">
        <f t="shared" si="2"/>
        <v>76400</v>
      </c>
      <c r="E37" s="213">
        <f t="shared" ref="E37:H37" si="27">ROUNDUP(D37*1.03,-2)</f>
        <v>78700</v>
      </c>
      <c r="F37" s="213">
        <f t="shared" si="27"/>
        <v>81100</v>
      </c>
      <c r="G37" s="213">
        <f t="shared" si="27"/>
        <v>83600</v>
      </c>
      <c r="H37" s="213">
        <f t="shared" si="27"/>
        <v>86200</v>
      </c>
      <c r="I37" s="129" t="s">
        <v>194</v>
      </c>
      <c r="L37" s="108" t="s">
        <v>210</v>
      </c>
      <c r="M37" s="108" t="s">
        <v>196</v>
      </c>
    </row>
    <row r="38" spans="1:13">
      <c r="A38" s="108" t="s">
        <v>224</v>
      </c>
      <c r="B38" s="108" t="s">
        <v>193</v>
      </c>
      <c r="C38" s="127">
        <v>77900</v>
      </c>
      <c r="D38" s="213">
        <f t="shared" si="2"/>
        <v>80300</v>
      </c>
      <c r="E38" s="213">
        <f t="shared" ref="E38:H38" si="28">ROUNDUP(D38*1.03,-2)</f>
        <v>82800</v>
      </c>
      <c r="F38" s="213">
        <f t="shared" si="28"/>
        <v>85300</v>
      </c>
      <c r="G38" s="213">
        <f t="shared" si="28"/>
        <v>87900</v>
      </c>
      <c r="H38" s="213">
        <f t="shared" si="28"/>
        <v>90600</v>
      </c>
      <c r="I38" s="127" t="s">
        <v>194</v>
      </c>
      <c r="L38" s="108" t="s">
        <v>210</v>
      </c>
      <c r="M38" s="108" t="s">
        <v>196</v>
      </c>
    </row>
    <row r="39" spans="1:13">
      <c r="A39" s="128" t="s">
        <v>225</v>
      </c>
      <c r="B39" s="128" t="s">
        <v>193</v>
      </c>
      <c r="C39" s="129">
        <v>82100</v>
      </c>
      <c r="D39" s="213">
        <f t="shared" si="2"/>
        <v>84600</v>
      </c>
      <c r="E39" s="213">
        <f t="shared" ref="E39:H39" si="29">ROUNDUP(D39*1.03,-2)</f>
        <v>87200</v>
      </c>
      <c r="F39" s="213">
        <f t="shared" si="29"/>
        <v>89900</v>
      </c>
      <c r="G39" s="213">
        <f t="shared" si="29"/>
        <v>92600</v>
      </c>
      <c r="H39" s="213">
        <f t="shared" si="29"/>
        <v>95400</v>
      </c>
      <c r="I39" s="129" t="s">
        <v>194</v>
      </c>
      <c r="L39" s="108" t="s">
        <v>210</v>
      </c>
      <c r="M39" s="108" t="s">
        <v>196</v>
      </c>
    </row>
    <row r="40" spans="1:13">
      <c r="A40" s="108" t="s">
        <v>226</v>
      </c>
      <c r="B40" s="108" t="s">
        <v>193</v>
      </c>
      <c r="C40" s="127">
        <v>86500</v>
      </c>
      <c r="D40" s="213">
        <f t="shared" si="2"/>
        <v>89100</v>
      </c>
      <c r="E40" s="213">
        <f t="shared" ref="E40:H40" si="30">ROUNDUP(D40*1.03,-2)</f>
        <v>91800</v>
      </c>
      <c r="F40" s="213">
        <f t="shared" si="30"/>
        <v>94600</v>
      </c>
      <c r="G40" s="213">
        <f t="shared" si="30"/>
        <v>97500</v>
      </c>
      <c r="H40" s="213">
        <f t="shared" si="30"/>
        <v>100500</v>
      </c>
      <c r="I40" s="127" t="s">
        <v>194</v>
      </c>
      <c r="L40" s="108" t="s">
        <v>210</v>
      </c>
      <c r="M40" s="108" t="s">
        <v>196</v>
      </c>
    </row>
    <row r="41" spans="1:13">
      <c r="A41" s="128" t="s">
        <v>13</v>
      </c>
      <c r="B41" s="128" t="s">
        <v>13</v>
      </c>
      <c r="C41" s="129">
        <v>0</v>
      </c>
      <c r="D41" s="213">
        <f t="shared" si="2"/>
        <v>0</v>
      </c>
      <c r="E41" s="213">
        <f t="shared" ref="E41:H41" si="31">ROUNDUP(D41*1.03,-2)</f>
        <v>0</v>
      </c>
      <c r="F41" s="213">
        <f t="shared" si="31"/>
        <v>0</v>
      </c>
      <c r="G41" s="213">
        <f t="shared" si="31"/>
        <v>0</v>
      </c>
      <c r="H41" s="213">
        <f t="shared" si="31"/>
        <v>0</v>
      </c>
      <c r="I41" s="129" t="s">
        <v>194</v>
      </c>
      <c r="K41" s="108" t="s">
        <v>227</v>
      </c>
      <c r="L41" s="279">
        <v>22</v>
      </c>
      <c r="M41" s="108" t="s">
        <v>196</v>
      </c>
    </row>
    <row r="42" spans="1:13">
      <c r="A42" s="268" t="s">
        <v>36</v>
      </c>
      <c r="B42" s="268" t="s">
        <v>228</v>
      </c>
      <c r="C42" s="213">
        <v>71895</v>
      </c>
      <c r="D42" s="213">
        <f>C42*1.03</f>
        <v>74051.850000000006</v>
      </c>
      <c r="E42" s="213">
        <f t="shared" ref="E42:H42" si="32">D42*1.03</f>
        <v>76273.405500000008</v>
      </c>
      <c r="F42" s="213">
        <f t="shared" si="32"/>
        <v>78561.607665000003</v>
      </c>
      <c r="G42" s="213">
        <f t="shared" si="32"/>
        <v>80918.455894950006</v>
      </c>
      <c r="H42" s="213">
        <f t="shared" si="32"/>
        <v>83346.00957179851</v>
      </c>
      <c r="I42" s="268" t="s">
        <v>229</v>
      </c>
      <c r="K42" s="108" t="s">
        <v>230</v>
      </c>
      <c r="L42" s="279">
        <v>22</v>
      </c>
      <c r="M42" s="108" t="s">
        <v>196</v>
      </c>
    </row>
    <row r="43" spans="1:13">
      <c r="A43" s="269" t="s">
        <v>231</v>
      </c>
      <c r="B43" s="269" t="s">
        <v>228</v>
      </c>
      <c r="C43" s="213">
        <v>71895</v>
      </c>
      <c r="D43" s="213">
        <f t="shared" ref="D43:H49" si="33">C43*1.03</f>
        <v>74051.850000000006</v>
      </c>
      <c r="E43" s="213">
        <f t="shared" si="33"/>
        <v>76273.405500000008</v>
      </c>
      <c r="F43" s="213">
        <f t="shared" si="33"/>
        <v>78561.607665000003</v>
      </c>
      <c r="G43" s="213">
        <f t="shared" si="33"/>
        <v>80918.455894950006</v>
      </c>
      <c r="H43" s="213">
        <f t="shared" si="33"/>
        <v>83346.00957179851</v>
      </c>
      <c r="I43" s="284" t="s">
        <v>229</v>
      </c>
      <c r="K43" s="108" t="s">
        <v>230</v>
      </c>
      <c r="L43" s="279">
        <v>22</v>
      </c>
      <c r="M43" s="108" t="s">
        <v>196</v>
      </c>
    </row>
    <row r="44" spans="1:13">
      <c r="A44" s="268" t="s">
        <v>232</v>
      </c>
      <c r="B44" s="268" t="s">
        <v>228</v>
      </c>
      <c r="C44" s="213">
        <v>77467</v>
      </c>
      <c r="D44" s="213">
        <f t="shared" si="33"/>
        <v>79791.010000000009</v>
      </c>
      <c r="E44" s="213">
        <f t="shared" si="33"/>
        <v>82184.740300000005</v>
      </c>
      <c r="F44" s="213">
        <f t="shared" si="33"/>
        <v>84650.282509000011</v>
      </c>
      <c r="G44" s="213">
        <f t="shared" si="33"/>
        <v>87189.790984270017</v>
      </c>
      <c r="H44" s="213">
        <f t="shared" si="33"/>
        <v>89805.484713798127</v>
      </c>
      <c r="I44" s="268" t="s">
        <v>229</v>
      </c>
      <c r="K44" s="108" t="s">
        <v>233</v>
      </c>
      <c r="L44" s="279">
        <v>22</v>
      </c>
      <c r="M44" s="108" t="s">
        <v>196</v>
      </c>
    </row>
    <row r="45" spans="1:13">
      <c r="A45" s="269" t="s">
        <v>234</v>
      </c>
      <c r="B45" s="269" t="s">
        <v>228</v>
      </c>
      <c r="C45" s="213">
        <v>77467</v>
      </c>
      <c r="D45" s="213">
        <f t="shared" si="33"/>
        <v>79791.010000000009</v>
      </c>
      <c r="E45" s="213">
        <f t="shared" si="33"/>
        <v>82184.740300000005</v>
      </c>
      <c r="F45" s="213">
        <f t="shared" si="33"/>
        <v>84650.282509000011</v>
      </c>
      <c r="G45" s="213">
        <f t="shared" si="33"/>
        <v>87189.790984270017</v>
      </c>
      <c r="H45" s="213">
        <f t="shared" si="33"/>
        <v>89805.484713798127</v>
      </c>
      <c r="I45" s="284" t="s">
        <v>229</v>
      </c>
      <c r="K45" s="108" t="s">
        <v>233</v>
      </c>
      <c r="L45" s="279">
        <v>22</v>
      </c>
      <c r="M45" s="108" t="s">
        <v>196</v>
      </c>
    </row>
    <row r="46" spans="1:13">
      <c r="A46" s="108" t="s">
        <v>29</v>
      </c>
      <c r="B46" s="108" t="s">
        <v>228</v>
      </c>
      <c r="C46" s="213">
        <v>83471</v>
      </c>
      <c r="D46" s="213">
        <f t="shared" si="33"/>
        <v>85975.13</v>
      </c>
      <c r="E46" s="213">
        <f t="shared" si="33"/>
        <v>88554.383900000001</v>
      </c>
      <c r="F46" s="213">
        <f t="shared" si="33"/>
        <v>91211.015417000002</v>
      </c>
      <c r="G46" s="213">
        <f t="shared" si="33"/>
        <v>93947.345879510001</v>
      </c>
      <c r="H46" s="213">
        <f t="shared" si="33"/>
        <v>96765.766255895302</v>
      </c>
      <c r="I46" s="127" t="s">
        <v>229</v>
      </c>
      <c r="K46" s="108" t="s">
        <v>235</v>
      </c>
      <c r="L46" s="279">
        <v>22</v>
      </c>
      <c r="M46" s="108" t="s">
        <v>196</v>
      </c>
    </row>
    <row r="47" spans="1:13">
      <c r="A47" s="128" t="s">
        <v>236</v>
      </c>
      <c r="B47" s="128" t="s">
        <v>228</v>
      </c>
      <c r="C47" s="213">
        <v>83471</v>
      </c>
      <c r="D47" s="213">
        <f t="shared" si="33"/>
        <v>85975.13</v>
      </c>
      <c r="E47" s="213">
        <f t="shared" si="33"/>
        <v>88554.383900000001</v>
      </c>
      <c r="F47" s="213">
        <f t="shared" si="33"/>
        <v>91211.015417000002</v>
      </c>
      <c r="G47" s="213">
        <f t="shared" si="33"/>
        <v>93947.345879510001</v>
      </c>
      <c r="H47" s="213">
        <f t="shared" si="33"/>
        <v>96765.766255895302</v>
      </c>
      <c r="I47" s="283" t="s">
        <v>229</v>
      </c>
      <c r="K47" s="108" t="s">
        <v>235</v>
      </c>
      <c r="L47" s="279">
        <v>22</v>
      </c>
      <c r="M47" s="108" t="s">
        <v>196</v>
      </c>
    </row>
    <row r="48" spans="1:13">
      <c r="A48" s="108" t="s">
        <v>237</v>
      </c>
      <c r="B48" s="108" t="s">
        <v>228</v>
      </c>
      <c r="C48" s="213">
        <v>89941</v>
      </c>
      <c r="D48" s="213">
        <f t="shared" si="33"/>
        <v>92639.23</v>
      </c>
      <c r="E48" s="213">
        <f t="shared" si="33"/>
        <v>95418.406900000002</v>
      </c>
      <c r="F48" s="213">
        <f t="shared" si="33"/>
        <v>98280.959107000002</v>
      </c>
      <c r="G48" s="213">
        <f t="shared" si="33"/>
        <v>101229.38788021001</v>
      </c>
      <c r="H48" s="213">
        <f t="shared" si="33"/>
        <v>104266.26951661632</v>
      </c>
      <c r="I48" s="127" t="s">
        <v>229</v>
      </c>
      <c r="K48" s="108" t="s">
        <v>238</v>
      </c>
      <c r="L48" s="279">
        <v>22</v>
      </c>
      <c r="M48" s="108" t="s">
        <v>196</v>
      </c>
    </row>
    <row r="49" spans="1:13">
      <c r="A49" s="128" t="s">
        <v>239</v>
      </c>
      <c r="B49" s="128" t="s">
        <v>228</v>
      </c>
      <c r="C49" s="213">
        <v>89941</v>
      </c>
      <c r="D49" s="213">
        <f t="shared" si="33"/>
        <v>92639.23</v>
      </c>
      <c r="E49" s="213">
        <f t="shared" si="33"/>
        <v>95418.406900000002</v>
      </c>
      <c r="F49" s="213">
        <f t="shared" si="33"/>
        <v>98280.959107000002</v>
      </c>
      <c r="G49" s="213">
        <f t="shared" si="33"/>
        <v>101229.38788021001</v>
      </c>
      <c r="H49" s="213">
        <f t="shared" si="33"/>
        <v>104266.26951661632</v>
      </c>
      <c r="I49" s="283" t="s">
        <v>229</v>
      </c>
      <c r="K49" s="108" t="s">
        <v>238</v>
      </c>
      <c r="L49" s="279">
        <v>22</v>
      </c>
      <c r="M49" s="108" t="s">
        <v>196</v>
      </c>
    </row>
    <row r="50" spans="1:13">
      <c r="A50" s="108" t="s">
        <v>240</v>
      </c>
      <c r="B50" s="108" t="s">
        <v>193</v>
      </c>
      <c r="C50" s="127">
        <v>53500</v>
      </c>
      <c r="D50" s="213">
        <f t="shared" si="2"/>
        <v>55200</v>
      </c>
      <c r="E50" s="213">
        <f t="shared" ref="E50:H50" si="34">ROUNDUP(D50*1.03,-2)</f>
        <v>56900</v>
      </c>
      <c r="F50" s="213">
        <f t="shared" si="34"/>
        <v>58700</v>
      </c>
      <c r="G50" s="213">
        <f t="shared" si="34"/>
        <v>60500</v>
      </c>
      <c r="H50" s="213">
        <f t="shared" si="34"/>
        <v>62400</v>
      </c>
      <c r="I50" s="127" t="s">
        <v>194</v>
      </c>
      <c r="L50" s="108" t="s">
        <v>210</v>
      </c>
      <c r="M50" s="108" t="s">
        <v>196</v>
      </c>
    </row>
    <row r="51" spans="1:13">
      <c r="A51" s="128" t="s">
        <v>241</v>
      </c>
      <c r="B51" s="128" t="s">
        <v>193</v>
      </c>
      <c r="C51" s="129">
        <v>53100</v>
      </c>
      <c r="D51" s="213">
        <f t="shared" si="2"/>
        <v>54700</v>
      </c>
      <c r="E51" s="213">
        <f t="shared" ref="E51:H51" si="35">ROUNDUP(D51*1.03,-2)</f>
        <v>56400</v>
      </c>
      <c r="F51" s="213">
        <f t="shared" si="35"/>
        <v>58100</v>
      </c>
      <c r="G51" s="213">
        <f t="shared" si="35"/>
        <v>59900</v>
      </c>
      <c r="H51" s="213">
        <f t="shared" si="35"/>
        <v>61700</v>
      </c>
      <c r="I51" s="129" t="s">
        <v>194</v>
      </c>
      <c r="L51" s="108" t="s">
        <v>242</v>
      </c>
      <c r="M51" s="108" t="s">
        <v>196</v>
      </c>
    </row>
    <row r="52" spans="1:13">
      <c r="A52" s="108" t="s">
        <v>243</v>
      </c>
      <c r="B52" s="108" t="s">
        <v>193</v>
      </c>
      <c r="C52" s="127">
        <v>53500</v>
      </c>
      <c r="D52" s="213">
        <f t="shared" si="2"/>
        <v>55200</v>
      </c>
      <c r="E52" s="213">
        <f t="shared" ref="E52:H52" si="36">ROUNDUP(D52*1.03,-2)</f>
        <v>56900</v>
      </c>
      <c r="F52" s="213">
        <f t="shared" si="36"/>
        <v>58700</v>
      </c>
      <c r="G52" s="213">
        <f t="shared" si="36"/>
        <v>60500</v>
      </c>
      <c r="H52" s="213">
        <f t="shared" si="36"/>
        <v>62400</v>
      </c>
      <c r="I52" s="127" t="s">
        <v>194</v>
      </c>
      <c r="L52" s="108" t="s">
        <v>210</v>
      </c>
      <c r="M52" s="108" t="s">
        <v>196</v>
      </c>
    </row>
    <row r="53" spans="1:13">
      <c r="A53" s="128" t="s">
        <v>244</v>
      </c>
      <c r="B53" s="128" t="s">
        <v>193</v>
      </c>
      <c r="C53" s="129">
        <v>56600</v>
      </c>
      <c r="D53" s="213">
        <f t="shared" si="2"/>
        <v>58300</v>
      </c>
      <c r="E53" s="213">
        <f t="shared" ref="E53:H53" si="37">ROUNDUP(D53*1.03,-2)</f>
        <v>60100</v>
      </c>
      <c r="F53" s="213">
        <f t="shared" si="37"/>
        <v>62000</v>
      </c>
      <c r="G53" s="213">
        <f t="shared" si="37"/>
        <v>63900</v>
      </c>
      <c r="H53" s="213">
        <f t="shared" si="37"/>
        <v>65900</v>
      </c>
      <c r="I53" s="129" t="s">
        <v>194</v>
      </c>
      <c r="K53" s="108" t="s">
        <v>245</v>
      </c>
      <c r="L53" s="108" t="s">
        <v>242</v>
      </c>
      <c r="M53" s="108" t="s">
        <v>196</v>
      </c>
    </row>
    <row r="54" spans="1:13">
      <c r="A54" s="108" t="s">
        <v>246</v>
      </c>
      <c r="B54" s="108" t="s">
        <v>247</v>
      </c>
      <c r="C54" s="249">
        <f>K54*2088</f>
        <v>41780.880000000005</v>
      </c>
      <c r="D54" s="127">
        <f t="shared" ref="D54:H55" si="38">C54*1.03</f>
        <v>43034.306400000009</v>
      </c>
      <c r="E54" s="127">
        <f t="shared" si="38"/>
        <v>44325.33559200001</v>
      </c>
      <c r="F54" s="127">
        <f t="shared" si="38"/>
        <v>45655.095659760009</v>
      </c>
      <c r="G54" s="127">
        <f t="shared" si="38"/>
        <v>47024.748529552809</v>
      </c>
      <c r="H54" s="127">
        <f t="shared" si="38"/>
        <v>48435.490985439392</v>
      </c>
      <c r="I54" s="127" t="s">
        <v>248</v>
      </c>
      <c r="J54" s="249"/>
      <c r="K54" s="249">
        <v>20.010000000000002</v>
      </c>
      <c r="L54" s="108" t="s">
        <v>249</v>
      </c>
      <c r="M54" s="278" t="s">
        <v>250</v>
      </c>
    </row>
    <row r="55" spans="1:13">
      <c r="A55" s="128" t="s">
        <v>38</v>
      </c>
      <c r="B55" s="128" t="s">
        <v>247</v>
      </c>
      <c r="C55" s="251">
        <f>K55*2088</f>
        <v>46165.68</v>
      </c>
      <c r="D55" s="129">
        <f t="shared" si="38"/>
        <v>47550.650399999999</v>
      </c>
      <c r="E55" s="129">
        <f t="shared" si="38"/>
        <v>48977.169911999998</v>
      </c>
      <c r="F55" s="129">
        <f t="shared" si="38"/>
        <v>50446.485009359996</v>
      </c>
      <c r="G55" s="129">
        <f t="shared" si="38"/>
        <v>51959.879559640794</v>
      </c>
      <c r="H55" s="129">
        <f t="shared" si="38"/>
        <v>53518.675946430019</v>
      </c>
      <c r="I55" s="129" t="s">
        <v>248</v>
      </c>
      <c r="J55" s="249"/>
      <c r="K55" s="249">
        <v>22.11</v>
      </c>
      <c r="L55" s="108" t="s">
        <v>249</v>
      </c>
      <c r="M55" s="108" t="s">
        <v>196</v>
      </c>
    </row>
    <row r="56" spans="1:13">
      <c r="A56" s="108" t="s">
        <v>251</v>
      </c>
      <c r="B56" s="108" t="s">
        <v>247</v>
      </c>
      <c r="C56" s="249">
        <f t="shared" ref="C56:C69" si="39">K56*2088</f>
        <v>53264.880000000005</v>
      </c>
      <c r="D56" s="127">
        <f t="shared" ref="D56:H57" si="40">C56*1.03</f>
        <v>54862.826400000005</v>
      </c>
      <c r="E56" s="127">
        <f t="shared" si="40"/>
        <v>56508.71119200001</v>
      </c>
      <c r="F56" s="127">
        <f t="shared" si="40"/>
        <v>58203.972527760008</v>
      </c>
      <c r="G56" s="127">
        <f t="shared" si="40"/>
        <v>59950.091703592807</v>
      </c>
      <c r="H56" s="127">
        <f t="shared" si="40"/>
        <v>61748.594454700593</v>
      </c>
      <c r="I56" s="127" t="s">
        <v>248</v>
      </c>
      <c r="J56" s="249"/>
      <c r="K56" s="249">
        <v>25.51</v>
      </c>
      <c r="L56" s="108" t="s">
        <v>249</v>
      </c>
      <c r="M56" s="108" t="s">
        <v>196</v>
      </c>
    </row>
    <row r="57" spans="1:13">
      <c r="A57" s="128" t="s">
        <v>252</v>
      </c>
      <c r="B57" s="128" t="s">
        <v>247</v>
      </c>
      <c r="C57" s="251">
        <f t="shared" si="39"/>
        <v>62201.52</v>
      </c>
      <c r="D57" s="129">
        <f t="shared" si="40"/>
        <v>64067.565600000002</v>
      </c>
      <c r="E57" s="129">
        <f t="shared" si="40"/>
        <v>65989.592568000007</v>
      </c>
      <c r="F57" s="129">
        <f t="shared" si="40"/>
        <v>67969.28034504001</v>
      </c>
      <c r="G57" s="129">
        <f t="shared" si="40"/>
        <v>70008.358755391208</v>
      </c>
      <c r="H57" s="129">
        <f t="shared" si="40"/>
        <v>72108.609518052952</v>
      </c>
      <c r="I57" s="129" t="s">
        <v>248</v>
      </c>
      <c r="J57" s="249"/>
      <c r="K57" s="249">
        <v>29.79</v>
      </c>
      <c r="L57" s="108" t="s">
        <v>249</v>
      </c>
      <c r="M57" s="108" t="s">
        <v>196</v>
      </c>
    </row>
    <row r="58" spans="1:13">
      <c r="A58" s="108" t="s">
        <v>253</v>
      </c>
      <c r="B58" s="108" t="s">
        <v>247</v>
      </c>
      <c r="C58" s="249">
        <f t="shared" si="39"/>
        <v>40653.360000000001</v>
      </c>
      <c r="D58" s="280">
        <f t="shared" ref="D58:H59" si="41">C58*1.035</f>
        <v>42076.227599999998</v>
      </c>
      <c r="E58" s="280">
        <f t="shared" si="41"/>
        <v>43548.895565999992</v>
      </c>
      <c r="F58" s="280">
        <f t="shared" si="41"/>
        <v>45073.106910809991</v>
      </c>
      <c r="G58" s="280">
        <f t="shared" si="41"/>
        <v>46650.665652688338</v>
      </c>
      <c r="H58" s="280">
        <f t="shared" si="41"/>
        <v>48283.438950532429</v>
      </c>
      <c r="I58" s="280" t="s">
        <v>248</v>
      </c>
      <c r="J58" s="249"/>
      <c r="K58" s="249">
        <v>19.47</v>
      </c>
      <c r="L58" s="108" t="s">
        <v>249</v>
      </c>
      <c r="M58" s="108" t="s">
        <v>196</v>
      </c>
    </row>
    <row r="59" spans="1:13">
      <c r="A59" s="281" t="s">
        <v>254</v>
      </c>
      <c r="B59" s="281" t="s">
        <v>247</v>
      </c>
      <c r="C59" s="251">
        <f t="shared" si="39"/>
        <v>41467.68</v>
      </c>
      <c r="D59" s="283">
        <f>C59*1.035</f>
        <v>42919.048799999997</v>
      </c>
      <c r="E59" s="283">
        <f t="shared" si="41"/>
        <v>44421.215507999994</v>
      </c>
      <c r="F59" s="283">
        <f t="shared" si="41"/>
        <v>45975.958050779991</v>
      </c>
      <c r="G59" s="283">
        <f t="shared" si="41"/>
        <v>47585.11658255729</v>
      </c>
      <c r="H59" s="283">
        <f t="shared" si="41"/>
        <v>49250.595662946791</v>
      </c>
      <c r="I59" s="283" t="s">
        <v>248</v>
      </c>
      <c r="J59" s="249"/>
      <c r="K59" s="249">
        <v>19.86</v>
      </c>
      <c r="L59" s="108" t="s">
        <v>249</v>
      </c>
      <c r="M59" s="108" t="s">
        <v>196</v>
      </c>
    </row>
    <row r="60" spans="1:13">
      <c r="A60" s="108" t="s">
        <v>255</v>
      </c>
      <c r="B60" s="108" t="s">
        <v>247</v>
      </c>
      <c r="C60" s="249">
        <f t="shared" si="39"/>
        <v>42302.880000000005</v>
      </c>
      <c r="D60" s="280">
        <f t="shared" ref="D60" si="42">C60*1.035</f>
        <v>43783.480800000005</v>
      </c>
      <c r="E60" s="280">
        <f t="shared" ref="E60:E69" si="43">D60*1.035</f>
        <v>45315.902628000003</v>
      </c>
      <c r="F60" s="280">
        <f t="shared" ref="F60:F69" si="44">E60*1.035</f>
        <v>46901.959219980003</v>
      </c>
      <c r="G60" s="280">
        <f t="shared" ref="G60:G69" si="45">F60*1.035</f>
        <v>48543.527792679299</v>
      </c>
      <c r="H60" s="280">
        <f t="shared" ref="H60:H69" si="46">G60*1.035</f>
        <v>50242.55126542307</v>
      </c>
      <c r="I60" s="280" t="s">
        <v>248</v>
      </c>
      <c r="J60" s="249"/>
      <c r="K60" s="249">
        <v>20.260000000000002</v>
      </c>
      <c r="L60" s="108" t="s">
        <v>249</v>
      </c>
      <c r="M60" s="108" t="s">
        <v>196</v>
      </c>
    </row>
    <row r="61" spans="1:13">
      <c r="A61" s="281" t="s">
        <v>256</v>
      </c>
      <c r="B61" s="281" t="s">
        <v>247</v>
      </c>
      <c r="C61" s="251">
        <f t="shared" si="39"/>
        <v>43200.72</v>
      </c>
      <c r="D61" s="283">
        <f>C61*1.035</f>
        <v>44712.745199999998</v>
      </c>
      <c r="E61" s="283">
        <f t="shared" si="43"/>
        <v>46277.691281999992</v>
      </c>
      <c r="F61" s="283">
        <f t="shared" si="44"/>
        <v>47897.410476869991</v>
      </c>
      <c r="G61" s="283">
        <f t="shared" si="45"/>
        <v>49573.819843560435</v>
      </c>
      <c r="H61" s="283">
        <f t="shared" si="46"/>
        <v>51308.903538085047</v>
      </c>
      <c r="I61" s="283" t="s">
        <v>248</v>
      </c>
      <c r="J61" s="249"/>
      <c r="K61" s="249">
        <v>20.69</v>
      </c>
      <c r="L61" s="108" t="s">
        <v>249</v>
      </c>
      <c r="M61" s="108" t="s">
        <v>196</v>
      </c>
    </row>
    <row r="62" spans="1:13">
      <c r="A62" s="108" t="s">
        <v>257</v>
      </c>
      <c r="B62" s="108" t="s">
        <v>247</v>
      </c>
      <c r="C62" s="249">
        <f t="shared" si="39"/>
        <v>44892</v>
      </c>
      <c r="D62" s="280">
        <f t="shared" ref="D62" si="47">C62*1.035</f>
        <v>46463.219999999994</v>
      </c>
      <c r="E62" s="280">
        <f t="shared" si="43"/>
        <v>48089.43269999999</v>
      </c>
      <c r="F62" s="280">
        <f t="shared" si="44"/>
        <v>49772.562844499989</v>
      </c>
      <c r="G62" s="280">
        <f t="shared" si="45"/>
        <v>51514.602544057489</v>
      </c>
      <c r="H62" s="280">
        <f t="shared" si="46"/>
        <v>53317.6136330995</v>
      </c>
      <c r="I62" s="280" t="s">
        <v>248</v>
      </c>
      <c r="J62" s="249"/>
      <c r="K62" s="249">
        <v>21.5</v>
      </c>
      <c r="L62" s="108" t="s">
        <v>249</v>
      </c>
      <c r="M62" s="108" t="s">
        <v>196</v>
      </c>
    </row>
    <row r="63" spans="1:13">
      <c r="A63" s="281" t="s">
        <v>258</v>
      </c>
      <c r="B63" s="281" t="s">
        <v>247</v>
      </c>
      <c r="C63" s="251">
        <f t="shared" si="39"/>
        <v>45768.960000000006</v>
      </c>
      <c r="D63" s="283">
        <f>C63*1.035</f>
        <v>47370.873600000006</v>
      </c>
      <c r="E63" s="283">
        <f t="shared" si="43"/>
        <v>49028.854176000001</v>
      </c>
      <c r="F63" s="283">
        <f t="shared" si="44"/>
        <v>50744.864072159995</v>
      </c>
      <c r="G63" s="283">
        <f t="shared" si="45"/>
        <v>52520.93431468559</v>
      </c>
      <c r="H63" s="283">
        <f t="shared" si="46"/>
        <v>54359.167015699582</v>
      </c>
      <c r="I63" s="283" t="s">
        <v>248</v>
      </c>
      <c r="J63" s="249"/>
      <c r="K63" s="249">
        <v>21.92</v>
      </c>
      <c r="L63" s="108" t="s">
        <v>249</v>
      </c>
      <c r="M63" s="108" t="s">
        <v>196</v>
      </c>
    </row>
    <row r="64" spans="1:13">
      <c r="A64" s="108" t="s">
        <v>41</v>
      </c>
      <c r="B64" s="108" t="s">
        <v>247</v>
      </c>
      <c r="C64" s="249">
        <f t="shared" si="39"/>
        <v>46729.439999999995</v>
      </c>
      <c r="D64" s="280">
        <f t="shared" ref="D64" si="48">C64*1.035</f>
        <v>48364.970399999991</v>
      </c>
      <c r="E64" s="280">
        <f t="shared" si="43"/>
        <v>50057.744363999984</v>
      </c>
      <c r="F64" s="280">
        <f t="shared" si="44"/>
        <v>51809.765416739981</v>
      </c>
      <c r="G64" s="280">
        <f t="shared" si="45"/>
        <v>53623.107206325876</v>
      </c>
      <c r="H64" s="280">
        <f t="shared" si="46"/>
        <v>55499.915958547281</v>
      </c>
      <c r="I64" s="280" t="s">
        <v>248</v>
      </c>
      <c r="J64" s="249"/>
      <c r="K64" s="249">
        <v>22.38</v>
      </c>
      <c r="L64" s="108" t="s">
        <v>249</v>
      </c>
      <c r="M64" s="108" t="s">
        <v>196</v>
      </c>
    </row>
    <row r="65" spans="1:13">
      <c r="A65" s="281" t="s">
        <v>259</v>
      </c>
      <c r="B65" s="281" t="s">
        <v>247</v>
      </c>
      <c r="C65" s="251">
        <f t="shared" si="39"/>
        <v>47689.919999999998</v>
      </c>
      <c r="D65" s="283">
        <f>C65*1.035</f>
        <v>49359.067199999998</v>
      </c>
      <c r="E65" s="283">
        <f t="shared" si="43"/>
        <v>51086.634551999996</v>
      </c>
      <c r="F65" s="283">
        <f t="shared" si="44"/>
        <v>52874.66676131999</v>
      </c>
      <c r="G65" s="283">
        <f t="shared" si="45"/>
        <v>54725.280097966184</v>
      </c>
      <c r="H65" s="283">
        <f t="shared" si="46"/>
        <v>56640.664901394994</v>
      </c>
      <c r="I65" s="283" t="s">
        <v>248</v>
      </c>
      <c r="J65" s="249"/>
      <c r="K65" s="249">
        <v>22.84</v>
      </c>
      <c r="L65" s="108" t="s">
        <v>249</v>
      </c>
      <c r="M65" s="108" t="s">
        <v>196</v>
      </c>
    </row>
    <row r="66" spans="1:13">
      <c r="A66" s="108" t="s">
        <v>260</v>
      </c>
      <c r="B66" s="108" t="s">
        <v>247</v>
      </c>
      <c r="C66" s="249">
        <f t="shared" si="39"/>
        <v>48587.76</v>
      </c>
      <c r="D66" s="280">
        <f t="shared" ref="D66" si="49">C66*1.035</f>
        <v>50288.331599999998</v>
      </c>
      <c r="E66" s="280">
        <f t="shared" si="43"/>
        <v>52048.423205999992</v>
      </c>
      <c r="F66" s="280">
        <f t="shared" si="44"/>
        <v>53870.118018209985</v>
      </c>
      <c r="G66" s="280">
        <f t="shared" si="45"/>
        <v>55755.572148847328</v>
      </c>
      <c r="H66" s="280">
        <f t="shared" si="46"/>
        <v>57707.017174056979</v>
      </c>
      <c r="I66" s="280" t="s">
        <v>248</v>
      </c>
      <c r="J66" s="249"/>
      <c r="K66" s="249">
        <v>23.27</v>
      </c>
      <c r="L66" s="108" t="s">
        <v>249</v>
      </c>
      <c r="M66" s="108" t="s">
        <v>196</v>
      </c>
    </row>
    <row r="67" spans="1:13">
      <c r="A67" s="281" t="s">
        <v>261</v>
      </c>
      <c r="B67" s="281" t="s">
        <v>247</v>
      </c>
      <c r="C67" s="251">
        <f t="shared" si="39"/>
        <v>49527.360000000001</v>
      </c>
      <c r="D67" s="283">
        <f>C67*1.035</f>
        <v>51260.817599999995</v>
      </c>
      <c r="E67" s="283">
        <f t="shared" si="43"/>
        <v>53054.946215999989</v>
      </c>
      <c r="F67" s="283">
        <f t="shared" si="44"/>
        <v>54911.869333559982</v>
      </c>
      <c r="G67" s="283">
        <f t="shared" si="45"/>
        <v>56833.784760234579</v>
      </c>
      <c r="H67" s="283">
        <f t="shared" si="46"/>
        <v>58822.967226842782</v>
      </c>
      <c r="I67" s="283" t="s">
        <v>248</v>
      </c>
      <c r="J67" s="249"/>
      <c r="K67" s="249">
        <v>23.72</v>
      </c>
      <c r="L67" s="108" t="s">
        <v>249</v>
      </c>
      <c r="M67" s="108" t="s">
        <v>196</v>
      </c>
    </row>
    <row r="68" spans="1:13">
      <c r="A68" s="108" t="s">
        <v>262</v>
      </c>
      <c r="B68" s="108" t="s">
        <v>247</v>
      </c>
      <c r="C68" s="249">
        <f t="shared" si="39"/>
        <v>49527.360000000001</v>
      </c>
      <c r="D68" s="280">
        <f t="shared" ref="D68" si="50">C68*1.035</f>
        <v>51260.817599999995</v>
      </c>
      <c r="E68" s="280">
        <f t="shared" si="43"/>
        <v>53054.946215999989</v>
      </c>
      <c r="F68" s="280">
        <f t="shared" si="44"/>
        <v>54911.869333559982</v>
      </c>
      <c r="G68" s="280">
        <f t="shared" si="45"/>
        <v>56833.784760234579</v>
      </c>
      <c r="H68" s="280">
        <f t="shared" si="46"/>
        <v>58822.967226842782</v>
      </c>
      <c r="I68" s="280" t="s">
        <v>248</v>
      </c>
      <c r="J68" s="249"/>
      <c r="K68" s="249">
        <v>23.72</v>
      </c>
      <c r="L68" s="108" t="s">
        <v>249</v>
      </c>
      <c r="M68" s="108" t="s">
        <v>196</v>
      </c>
    </row>
    <row r="69" spans="1:13">
      <c r="A69" s="281" t="s">
        <v>263</v>
      </c>
      <c r="B69" s="281" t="s">
        <v>247</v>
      </c>
      <c r="C69" s="251">
        <f t="shared" si="39"/>
        <v>50550.48</v>
      </c>
      <c r="D69" s="283">
        <f>C69*1.035</f>
        <v>52319.746800000001</v>
      </c>
      <c r="E69" s="283">
        <f t="shared" si="43"/>
        <v>54150.937937999995</v>
      </c>
      <c r="F69" s="283">
        <f t="shared" si="44"/>
        <v>56046.220765829989</v>
      </c>
      <c r="G69" s="283">
        <f t="shared" si="45"/>
        <v>58007.838492634037</v>
      </c>
      <c r="H69" s="283">
        <f t="shared" si="46"/>
        <v>60038.112839876223</v>
      </c>
      <c r="I69" s="283" t="s">
        <v>248</v>
      </c>
      <c r="J69" s="249"/>
      <c r="K69" s="249">
        <v>24.21</v>
      </c>
      <c r="L69" s="108" t="s">
        <v>249</v>
      </c>
      <c r="M69" s="108" t="s">
        <v>196</v>
      </c>
    </row>
    <row r="70" spans="1:13">
      <c r="A70" s="108" t="s">
        <v>264</v>
      </c>
      <c r="B70" s="108" t="s">
        <v>265</v>
      </c>
      <c r="C70" s="127">
        <v>66737</v>
      </c>
      <c r="D70" s="127">
        <f>C70*1.03</f>
        <v>68739.11</v>
      </c>
      <c r="E70" s="127">
        <f t="shared" ref="E70:H70" si="51">D70*1.03</f>
        <v>70801.283299999996</v>
      </c>
      <c r="F70" s="127">
        <f t="shared" si="51"/>
        <v>72925.321798999998</v>
      </c>
      <c r="G70" s="127">
        <f t="shared" si="51"/>
        <v>75113.08145297</v>
      </c>
      <c r="H70" s="127">
        <f t="shared" si="51"/>
        <v>77366.473896559095</v>
      </c>
      <c r="I70" s="127" t="s">
        <v>194</v>
      </c>
      <c r="J70" s="249"/>
      <c r="L70" s="279">
        <v>23</v>
      </c>
      <c r="M70" s="108" t="s">
        <v>196</v>
      </c>
    </row>
    <row r="71" spans="1:13">
      <c r="A71" s="128" t="s">
        <v>43</v>
      </c>
      <c r="B71" s="128" t="s">
        <v>265</v>
      </c>
      <c r="C71" s="302">
        <v>69209</v>
      </c>
      <c r="D71" s="302">
        <f t="shared" ref="D71:H75" si="52">C71*1.03</f>
        <v>71285.27</v>
      </c>
      <c r="E71" s="302">
        <f t="shared" si="52"/>
        <v>73423.828100000013</v>
      </c>
      <c r="F71" s="302">
        <f t="shared" si="52"/>
        <v>75626.542943000022</v>
      </c>
      <c r="G71" s="302">
        <f t="shared" si="52"/>
        <v>77895.339231290025</v>
      </c>
      <c r="H71" s="302">
        <f t="shared" si="52"/>
        <v>80232.199408228727</v>
      </c>
      <c r="I71" s="302" t="s">
        <v>194</v>
      </c>
      <c r="J71" s="249"/>
      <c r="L71" s="279">
        <v>23</v>
      </c>
      <c r="M71" s="108" t="s">
        <v>196</v>
      </c>
    </row>
    <row r="72" spans="1:13">
      <c r="A72" s="108" t="s">
        <v>266</v>
      </c>
      <c r="B72" s="108" t="s">
        <v>265</v>
      </c>
      <c r="C72" s="127">
        <v>71769</v>
      </c>
      <c r="D72" s="127">
        <f t="shared" si="52"/>
        <v>73922.070000000007</v>
      </c>
      <c r="E72" s="127">
        <f t="shared" si="52"/>
        <v>76139.732100000008</v>
      </c>
      <c r="F72" s="127">
        <f t="shared" si="52"/>
        <v>78423.924063000013</v>
      </c>
      <c r="G72" s="127">
        <f t="shared" si="52"/>
        <v>80776.641784890016</v>
      </c>
      <c r="H72" s="127">
        <f t="shared" si="52"/>
        <v>83199.941038436722</v>
      </c>
      <c r="I72" s="127" t="s">
        <v>194</v>
      </c>
      <c r="J72" s="249"/>
      <c r="L72" s="279">
        <v>23</v>
      </c>
      <c r="M72" s="108" t="s">
        <v>196</v>
      </c>
    </row>
    <row r="73" spans="1:13">
      <c r="A73" s="128" t="s">
        <v>267</v>
      </c>
      <c r="B73" s="128" t="s">
        <v>265</v>
      </c>
      <c r="C73" s="302">
        <v>74425</v>
      </c>
      <c r="D73" s="302">
        <f t="shared" si="52"/>
        <v>76657.75</v>
      </c>
      <c r="E73" s="302">
        <f t="shared" si="52"/>
        <v>78957.482499999998</v>
      </c>
      <c r="F73" s="302">
        <f t="shared" si="52"/>
        <v>81326.206974999994</v>
      </c>
      <c r="G73" s="302">
        <f t="shared" si="52"/>
        <v>83765.993184249994</v>
      </c>
      <c r="H73" s="302">
        <f t="shared" si="52"/>
        <v>86278.972979777493</v>
      </c>
      <c r="I73" s="302" t="s">
        <v>194</v>
      </c>
      <c r="J73" s="147"/>
      <c r="L73" s="279">
        <v>23</v>
      </c>
      <c r="M73" s="108" t="s">
        <v>196</v>
      </c>
    </row>
    <row r="74" spans="1:13">
      <c r="A74" s="108" t="s">
        <v>268</v>
      </c>
      <c r="B74" s="108" t="s">
        <v>265</v>
      </c>
      <c r="C74" s="127">
        <v>77179</v>
      </c>
      <c r="D74" s="127">
        <f t="shared" si="52"/>
        <v>79494.37</v>
      </c>
      <c r="E74" s="127">
        <f t="shared" si="52"/>
        <v>81879.201099999991</v>
      </c>
      <c r="F74" s="127">
        <f t="shared" si="52"/>
        <v>84335.577132999999</v>
      </c>
      <c r="G74" s="127">
        <f t="shared" si="52"/>
        <v>86865.644446990002</v>
      </c>
      <c r="H74" s="127">
        <f t="shared" si="52"/>
        <v>89471.613780399697</v>
      </c>
      <c r="I74" s="127" t="s">
        <v>194</v>
      </c>
      <c r="J74" s="147"/>
      <c r="L74" s="279">
        <v>23</v>
      </c>
      <c r="M74" s="108" t="s">
        <v>196</v>
      </c>
    </row>
    <row r="75" spans="1:13">
      <c r="A75" s="128" t="s">
        <v>269</v>
      </c>
      <c r="B75" s="128" t="s">
        <v>265</v>
      </c>
      <c r="C75" s="302">
        <v>80034</v>
      </c>
      <c r="D75" s="302">
        <f t="shared" si="52"/>
        <v>82435.02</v>
      </c>
      <c r="E75" s="302">
        <f t="shared" si="52"/>
        <v>84908.070600000006</v>
      </c>
      <c r="F75" s="302">
        <f t="shared" si="52"/>
        <v>87455.312718000016</v>
      </c>
      <c r="G75" s="302">
        <f t="shared" si="52"/>
        <v>90078.972099540013</v>
      </c>
      <c r="H75" s="302">
        <f t="shared" si="52"/>
        <v>92781.341262526214</v>
      </c>
      <c r="I75" s="302" t="s">
        <v>194</v>
      </c>
      <c r="L75" s="279">
        <v>23</v>
      </c>
      <c r="M75" s="108" t="s">
        <v>196</v>
      </c>
    </row>
    <row r="76" spans="1:13">
      <c r="A76" s="108" t="s">
        <v>270</v>
      </c>
      <c r="B76" s="108" t="s">
        <v>193</v>
      </c>
      <c r="C76" s="127">
        <v>104000</v>
      </c>
      <c r="D76" s="127">
        <f t="shared" ref="D76:H94" si="53">ROUNDUP(C76*1.03,-2)</f>
        <v>107200</v>
      </c>
      <c r="E76" s="127">
        <f t="shared" si="53"/>
        <v>110500</v>
      </c>
      <c r="F76" s="127">
        <f t="shared" si="53"/>
        <v>113900</v>
      </c>
      <c r="G76" s="127">
        <f t="shared" si="53"/>
        <v>117400</v>
      </c>
      <c r="H76" s="127">
        <f t="shared" si="53"/>
        <v>121000</v>
      </c>
      <c r="I76" s="127" t="s">
        <v>194</v>
      </c>
      <c r="L76" s="108" t="s">
        <v>195</v>
      </c>
      <c r="M76" s="108" t="s">
        <v>196</v>
      </c>
    </row>
    <row r="77" spans="1:13">
      <c r="A77" s="128" t="s">
        <v>271</v>
      </c>
      <c r="B77" s="128" t="s">
        <v>193</v>
      </c>
      <c r="C77" s="129">
        <v>111500</v>
      </c>
      <c r="D77" s="127">
        <f t="shared" si="53"/>
        <v>114900</v>
      </c>
      <c r="E77" s="127">
        <f t="shared" si="53"/>
        <v>118400</v>
      </c>
      <c r="F77" s="127">
        <f t="shared" si="53"/>
        <v>122000</v>
      </c>
      <c r="G77" s="127">
        <f t="shared" si="53"/>
        <v>125700</v>
      </c>
      <c r="H77" s="127">
        <f t="shared" si="53"/>
        <v>129500</v>
      </c>
      <c r="I77" s="129" t="s">
        <v>194</v>
      </c>
      <c r="L77" s="108" t="s">
        <v>195</v>
      </c>
      <c r="M77" s="108" t="s">
        <v>196</v>
      </c>
    </row>
    <row r="78" spans="1:13">
      <c r="A78" s="108" t="s">
        <v>272</v>
      </c>
      <c r="B78" s="108" t="s">
        <v>193</v>
      </c>
      <c r="C78" s="127">
        <v>120400</v>
      </c>
      <c r="D78" s="127">
        <f t="shared" si="53"/>
        <v>124100</v>
      </c>
      <c r="E78" s="127">
        <f t="shared" si="53"/>
        <v>127900</v>
      </c>
      <c r="F78" s="127">
        <f t="shared" si="53"/>
        <v>131800</v>
      </c>
      <c r="G78" s="127">
        <f t="shared" si="53"/>
        <v>135800</v>
      </c>
      <c r="H78" s="127">
        <f t="shared" si="53"/>
        <v>139900</v>
      </c>
      <c r="I78" s="127" t="s">
        <v>194</v>
      </c>
      <c r="L78" s="108" t="s">
        <v>195</v>
      </c>
      <c r="M78" s="108" t="s">
        <v>196</v>
      </c>
    </row>
    <row r="79" spans="1:13">
      <c r="A79" s="128" t="s">
        <v>273</v>
      </c>
      <c r="B79" s="128" t="s">
        <v>193</v>
      </c>
      <c r="C79" s="129">
        <v>130000</v>
      </c>
      <c r="D79" s="127">
        <f t="shared" si="53"/>
        <v>133900</v>
      </c>
      <c r="E79" s="127">
        <f t="shared" si="53"/>
        <v>138000</v>
      </c>
      <c r="F79" s="127">
        <f t="shared" si="53"/>
        <v>142200</v>
      </c>
      <c r="G79" s="127">
        <f t="shared" si="53"/>
        <v>146500</v>
      </c>
      <c r="H79" s="127">
        <f t="shared" si="53"/>
        <v>150900</v>
      </c>
      <c r="I79" s="129" t="s">
        <v>194</v>
      </c>
      <c r="L79" s="108" t="s">
        <v>195</v>
      </c>
      <c r="M79" s="108" t="s">
        <v>196</v>
      </c>
    </row>
    <row r="80" spans="1:13">
      <c r="A80" s="108" t="s">
        <v>274</v>
      </c>
      <c r="B80" s="108" t="s">
        <v>193</v>
      </c>
      <c r="C80" s="127">
        <v>140700</v>
      </c>
      <c r="D80" s="127">
        <f t="shared" si="53"/>
        <v>145000</v>
      </c>
      <c r="E80" s="127">
        <f t="shared" si="53"/>
        <v>149400</v>
      </c>
      <c r="F80" s="127">
        <f t="shared" si="53"/>
        <v>153900</v>
      </c>
      <c r="G80" s="127">
        <f t="shared" si="53"/>
        <v>158600</v>
      </c>
      <c r="H80" s="127">
        <f t="shared" si="53"/>
        <v>163400</v>
      </c>
      <c r="I80" s="127" t="s">
        <v>194</v>
      </c>
      <c r="L80" s="108" t="s">
        <v>195</v>
      </c>
      <c r="M80" s="108" t="s">
        <v>196</v>
      </c>
    </row>
    <row r="81" spans="1:13">
      <c r="A81" s="128" t="s">
        <v>275</v>
      </c>
      <c r="B81" s="128" t="s">
        <v>193</v>
      </c>
      <c r="C81" s="129">
        <v>152800</v>
      </c>
      <c r="D81" s="127">
        <f t="shared" si="53"/>
        <v>157400</v>
      </c>
      <c r="E81" s="127">
        <f t="shared" si="53"/>
        <v>162200</v>
      </c>
      <c r="F81" s="127">
        <f t="shared" si="53"/>
        <v>167100</v>
      </c>
      <c r="G81" s="127">
        <f t="shared" si="53"/>
        <v>172200</v>
      </c>
      <c r="H81" s="127">
        <f t="shared" si="53"/>
        <v>177400</v>
      </c>
      <c r="I81" s="129" t="s">
        <v>194</v>
      </c>
      <c r="L81" s="108" t="s">
        <v>195</v>
      </c>
      <c r="M81" s="108" t="s">
        <v>196</v>
      </c>
    </row>
    <row r="82" spans="1:13">
      <c r="A82" s="108" t="s">
        <v>276</v>
      </c>
      <c r="B82" s="108" t="s">
        <v>193</v>
      </c>
      <c r="C82" s="127">
        <v>166100</v>
      </c>
      <c r="D82" s="127">
        <f t="shared" si="53"/>
        <v>171100</v>
      </c>
      <c r="E82" s="127">
        <f t="shared" si="53"/>
        <v>176300</v>
      </c>
      <c r="F82" s="127">
        <f t="shared" si="53"/>
        <v>181600</v>
      </c>
      <c r="G82" s="127">
        <f t="shared" si="53"/>
        <v>187100</v>
      </c>
      <c r="H82" s="127">
        <f t="shared" si="53"/>
        <v>192800</v>
      </c>
      <c r="I82" s="127" t="s">
        <v>194</v>
      </c>
      <c r="L82" s="108" t="s">
        <v>195</v>
      </c>
      <c r="M82" s="108" t="s">
        <v>196</v>
      </c>
    </row>
    <row r="83" spans="1:13">
      <c r="A83" s="128" t="s">
        <v>277</v>
      </c>
      <c r="B83" s="128" t="s">
        <v>193</v>
      </c>
      <c r="C83" s="129">
        <v>179500</v>
      </c>
      <c r="D83" s="127">
        <f t="shared" si="53"/>
        <v>184900</v>
      </c>
      <c r="E83" s="127">
        <f t="shared" si="53"/>
        <v>190500</v>
      </c>
      <c r="F83" s="127">
        <f t="shared" si="53"/>
        <v>196300</v>
      </c>
      <c r="G83" s="127">
        <f t="shared" si="53"/>
        <v>202200</v>
      </c>
      <c r="H83" s="127">
        <f t="shared" si="53"/>
        <v>208300</v>
      </c>
      <c r="I83" s="129" t="s">
        <v>194</v>
      </c>
      <c r="L83" s="108" t="s">
        <v>195</v>
      </c>
      <c r="M83" s="108" t="s">
        <v>196</v>
      </c>
    </row>
    <row r="84" spans="1:13">
      <c r="A84" s="108" t="s">
        <v>278</v>
      </c>
      <c r="B84" s="108" t="s">
        <v>193</v>
      </c>
      <c r="C84" s="127">
        <v>195000</v>
      </c>
      <c r="D84" s="127">
        <f t="shared" si="53"/>
        <v>200900</v>
      </c>
      <c r="E84" s="127">
        <f t="shared" si="53"/>
        <v>207000</v>
      </c>
      <c r="F84" s="127">
        <f t="shared" si="53"/>
        <v>213300</v>
      </c>
      <c r="G84" s="127">
        <f t="shared" si="53"/>
        <v>219700</v>
      </c>
      <c r="H84" s="127">
        <f t="shared" si="53"/>
        <v>226300</v>
      </c>
      <c r="I84" s="127" t="s">
        <v>194</v>
      </c>
      <c r="L84" s="108" t="s">
        <v>195</v>
      </c>
      <c r="M84" s="108" t="s">
        <v>196</v>
      </c>
    </row>
    <row r="85" spans="1:13">
      <c r="A85" s="128" t="s">
        <v>279</v>
      </c>
      <c r="B85" s="128" t="s">
        <v>193</v>
      </c>
      <c r="C85" s="129">
        <v>134100</v>
      </c>
      <c r="D85" s="127">
        <f t="shared" si="53"/>
        <v>138200</v>
      </c>
      <c r="E85" s="127">
        <f t="shared" si="53"/>
        <v>142400</v>
      </c>
      <c r="F85" s="127">
        <f t="shared" si="53"/>
        <v>146700</v>
      </c>
      <c r="G85" s="127">
        <f t="shared" si="53"/>
        <v>151200</v>
      </c>
      <c r="H85" s="127">
        <f t="shared" si="53"/>
        <v>155800</v>
      </c>
      <c r="I85" s="129" t="s">
        <v>194</v>
      </c>
      <c r="L85" s="108" t="s">
        <v>203</v>
      </c>
      <c r="M85" s="108" t="s">
        <v>196</v>
      </c>
    </row>
    <row r="86" spans="1:13">
      <c r="A86" s="108" t="s">
        <v>280</v>
      </c>
      <c r="B86" s="108" t="s">
        <v>193</v>
      </c>
      <c r="C86" s="127">
        <v>144300</v>
      </c>
      <c r="D86" s="127">
        <f t="shared" si="53"/>
        <v>148700</v>
      </c>
      <c r="E86" s="127">
        <f t="shared" si="53"/>
        <v>153200</v>
      </c>
      <c r="F86" s="127">
        <f t="shared" si="53"/>
        <v>157800</v>
      </c>
      <c r="G86" s="127">
        <f t="shared" si="53"/>
        <v>162600</v>
      </c>
      <c r="H86" s="127">
        <f t="shared" si="53"/>
        <v>167500</v>
      </c>
      <c r="I86" s="127" t="s">
        <v>194</v>
      </c>
      <c r="L86" s="108" t="s">
        <v>203</v>
      </c>
      <c r="M86" s="108" t="s">
        <v>196</v>
      </c>
    </row>
    <row r="87" spans="1:13" s="200" customFormat="1">
      <c r="A87" s="128" t="s">
        <v>281</v>
      </c>
      <c r="B87" s="128" t="s">
        <v>193</v>
      </c>
      <c r="C87" s="129">
        <v>155200</v>
      </c>
      <c r="D87" s="127">
        <f t="shared" si="53"/>
        <v>159900</v>
      </c>
      <c r="E87" s="127">
        <f t="shared" si="53"/>
        <v>164700</v>
      </c>
      <c r="F87" s="127">
        <f t="shared" si="53"/>
        <v>169700</v>
      </c>
      <c r="G87" s="127">
        <f t="shared" si="53"/>
        <v>174800</v>
      </c>
      <c r="H87" s="127">
        <f t="shared" si="53"/>
        <v>180100</v>
      </c>
      <c r="I87" s="129" t="s">
        <v>194</v>
      </c>
      <c r="K87" s="108"/>
      <c r="L87" s="108" t="s">
        <v>203</v>
      </c>
      <c r="M87" s="108" t="s">
        <v>196</v>
      </c>
    </row>
    <row r="88" spans="1:13" s="200" customFormat="1">
      <c r="A88" s="108" t="s">
        <v>282</v>
      </c>
      <c r="B88" s="108" t="s">
        <v>193</v>
      </c>
      <c r="C88" s="127">
        <v>166700</v>
      </c>
      <c r="D88" s="127">
        <f t="shared" si="53"/>
        <v>171800</v>
      </c>
      <c r="E88" s="127">
        <f t="shared" si="53"/>
        <v>177000</v>
      </c>
      <c r="F88" s="127">
        <f t="shared" si="53"/>
        <v>182400</v>
      </c>
      <c r="G88" s="127">
        <f t="shared" si="53"/>
        <v>187900</v>
      </c>
      <c r="H88" s="127">
        <f t="shared" si="53"/>
        <v>193600</v>
      </c>
      <c r="I88" s="127" t="s">
        <v>194</v>
      </c>
      <c r="K88" s="108"/>
      <c r="L88" s="108" t="s">
        <v>203</v>
      </c>
      <c r="M88" s="108" t="s">
        <v>196</v>
      </c>
    </row>
    <row r="89" spans="1:13" s="200" customFormat="1">
      <c r="A89" s="128" t="s">
        <v>283</v>
      </c>
      <c r="B89" s="128" t="s">
        <v>193</v>
      </c>
      <c r="C89" s="129">
        <v>91500</v>
      </c>
      <c r="D89" s="127">
        <f t="shared" si="53"/>
        <v>94300</v>
      </c>
      <c r="E89" s="127">
        <f t="shared" si="53"/>
        <v>97200</v>
      </c>
      <c r="F89" s="127">
        <f t="shared" si="53"/>
        <v>100200</v>
      </c>
      <c r="G89" s="127">
        <f t="shared" si="53"/>
        <v>103300</v>
      </c>
      <c r="H89" s="127">
        <f t="shared" si="53"/>
        <v>106400</v>
      </c>
      <c r="I89" s="129" t="s">
        <v>194</v>
      </c>
      <c r="K89" s="108"/>
      <c r="L89" s="108" t="s">
        <v>210</v>
      </c>
      <c r="M89" s="108" t="s">
        <v>196</v>
      </c>
    </row>
    <row r="90" spans="1:13" s="200" customFormat="1">
      <c r="A90" s="108" t="s">
        <v>284</v>
      </c>
      <c r="B90" s="108" t="s">
        <v>193</v>
      </c>
      <c r="C90" s="127">
        <v>100600</v>
      </c>
      <c r="D90" s="127">
        <f t="shared" si="53"/>
        <v>103700</v>
      </c>
      <c r="E90" s="127">
        <f t="shared" si="53"/>
        <v>106900</v>
      </c>
      <c r="F90" s="127">
        <f t="shared" si="53"/>
        <v>110200</v>
      </c>
      <c r="G90" s="127">
        <f t="shared" si="53"/>
        <v>113600</v>
      </c>
      <c r="H90" s="127">
        <f t="shared" si="53"/>
        <v>117100</v>
      </c>
      <c r="I90" s="127" t="s">
        <v>194</v>
      </c>
      <c r="K90" s="108"/>
      <c r="L90" s="108" t="s">
        <v>210</v>
      </c>
      <c r="M90" s="108" t="s">
        <v>196</v>
      </c>
    </row>
    <row r="91" spans="1:13" s="200" customFormat="1">
      <c r="A91" s="128" t="s">
        <v>285</v>
      </c>
      <c r="B91" s="128" t="s">
        <v>193</v>
      </c>
      <c r="C91" s="129">
        <v>112300</v>
      </c>
      <c r="D91" s="127">
        <f t="shared" si="53"/>
        <v>115700</v>
      </c>
      <c r="E91" s="127">
        <f t="shared" si="53"/>
        <v>119200</v>
      </c>
      <c r="F91" s="127">
        <f t="shared" si="53"/>
        <v>122800</v>
      </c>
      <c r="G91" s="127">
        <f t="shared" si="53"/>
        <v>126500</v>
      </c>
      <c r="H91" s="127">
        <f t="shared" si="53"/>
        <v>130300</v>
      </c>
      <c r="I91" s="129" t="s">
        <v>194</v>
      </c>
      <c r="K91" s="108"/>
      <c r="L91" s="108" t="s">
        <v>210</v>
      </c>
      <c r="M91" s="108" t="s">
        <v>196</v>
      </c>
    </row>
    <row r="92" spans="1:13" s="200" customFormat="1">
      <c r="A92" s="108" t="s">
        <v>286</v>
      </c>
      <c r="B92" s="108" t="s">
        <v>193</v>
      </c>
      <c r="C92" s="127">
        <v>126200</v>
      </c>
      <c r="D92" s="127">
        <f t="shared" si="53"/>
        <v>130000</v>
      </c>
      <c r="E92" s="127">
        <f t="shared" si="53"/>
        <v>133900</v>
      </c>
      <c r="F92" s="127">
        <f t="shared" si="53"/>
        <v>138000</v>
      </c>
      <c r="G92" s="127">
        <f t="shared" si="53"/>
        <v>142200</v>
      </c>
      <c r="H92" s="127">
        <f t="shared" si="53"/>
        <v>146500</v>
      </c>
      <c r="I92" s="127" t="s">
        <v>194</v>
      </c>
      <c r="K92" s="108"/>
      <c r="L92" s="108" t="s">
        <v>210</v>
      </c>
      <c r="M92" s="108" t="s">
        <v>196</v>
      </c>
    </row>
    <row r="93" spans="1:13" s="200" customFormat="1">
      <c r="A93" s="128" t="s">
        <v>287</v>
      </c>
      <c r="B93" s="128" t="s">
        <v>193</v>
      </c>
      <c r="C93" s="129">
        <v>139800</v>
      </c>
      <c r="D93" s="127">
        <f t="shared" si="53"/>
        <v>144000</v>
      </c>
      <c r="E93" s="127">
        <f t="shared" si="53"/>
        <v>148400</v>
      </c>
      <c r="F93" s="127">
        <f t="shared" si="53"/>
        <v>152900</v>
      </c>
      <c r="G93" s="127">
        <f t="shared" si="53"/>
        <v>157500</v>
      </c>
      <c r="H93" s="127">
        <f t="shared" si="53"/>
        <v>162300</v>
      </c>
      <c r="I93" s="129" t="s">
        <v>194</v>
      </c>
      <c r="K93" s="108"/>
      <c r="L93" s="108" t="s">
        <v>210</v>
      </c>
      <c r="M93" s="108" t="s">
        <v>196</v>
      </c>
    </row>
    <row r="94" spans="1:13" s="200" customFormat="1">
      <c r="A94" s="108" t="s">
        <v>288</v>
      </c>
      <c r="B94" s="108" t="s">
        <v>193</v>
      </c>
      <c r="C94" s="127">
        <v>151500</v>
      </c>
      <c r="D94" s="127">
        <f t="shared" si="53"/>
        <v>156100</v>
      </c>
      <c r="E94" s="127">
        <f t="shared" si="53"/>
        <v>160800</v>
      </c>
      <c r="F94" s="127">
        <f t="shared" si="53"/>
        <v>165700</v>
      </c>
      <c r="G94" s="127">
        <f t="shared" si="53"/>
        <v>170700</v>
      </c>
      <c r="H94" s="127">
        <f t="shared" si="53"/>
        <v>175900</v>
      </c>
      <c r="I94" s="127" t="s">
        <v>194</v>
      </c>
      <c r="J94" s="250"/>
      <c r="K94" s="108"/>
      <c r="L94" s="108" t="s">
        <v>210</v>
      </c>
      <c r="M94" s="108" t="s">
        <v>196</v>
      </c>
    </row>
    <row r="95" spans="1:13">
      <c r="A95" s="281" t="s">
        <v>289</v>
      </c>
      <c r="B95" s="281" t="s">
        <v>247</v>
      </c>
      <c r="C95" s="282">
        <f>K95*2088</f>
        <v>55916.639999999999</v>
      </c>
      <c r="D95" s="283">
        <f t="shared" ref="D95:H98" si="54">C95*1.03</f>
        <v>57594.139199999998</v>
      </c>
      <c r="E95" s="283">
        <f t="shared" si="54"/>
        <v>59321.963376</v>
      </c>
      <c r="F95" s="283">
        <f t="shared" si="54"/>
        <v>61101.622277280003</v>
      </c>
      <c r="G95" s="283">
        <f t="shared" si="54"/>
        <v>62934.670945598402</v>
      </c>
      <c r="H95" s="283">
        <f t="shared" si="54"/>
        <v>64822.711073966355</v>
      </c>
      <c r="I95" s="283" t="s">
        <v>248</v>
      </c>
      <c r="J95" s="249"/>
      <c r="K95" s="249">
        <v>26.78</v>
      </c>
      <c r="L95" s="108" t="s">
        <v>249</v>
      </c>
      <c r="M95" s="278" t="s">
        <v>250</v>
      </c>
    </row>
    <row r="96" spans="1:13">
      <c r="A96" s="108" t="s">
        <v>290</v>
      </c>
      <c r="B96" s="108" t="s">
        <v>247</v>
      </c>
      <c r="C96" s="249">
        <f>K96*2088</f>
        <v>60301.439999999995</v>
      </c>
      <c r="D96" s="127">
        <f t="shared" si="54"/>
        <v>62110.483199999995</v>
      </c>
      <c r="E96" s="127">
        <f t="shared" si="54"/>
        <v>63973.797695999994</v>
      </c>
      <c r="F96" s="127">
        <f t="shared" si="54"/>
        <v>65893.01162687999</v>
      </c>
      <c r="G96" s="127">
        <f t="shared" si="54"/>
        <v>67869.801975686394</v>
      </c>
      <c r="H96" s="127">
        <f t="shared" si="54"/>
        <v>69905.896034956982</v>
      </c>
      <c r="I96" s="127" t="s">
        <v>248</v>
      </c>
      <c r="J96" s="249"/>
      <c r="K96" s="249">
        <v>28.88</v>
      </c>
      <c r="L96" s="108" t="s">
        <v>249</v>
      </c>
      <c r="M96" s="108" t="s">
        <v>196</v>
      </c>
    </row>
    <row r="97" spans="1:13">
      <c r="A97" s="128" t="s">
        <v>291</v>
      </c>
      <c r="B97" s="128" t="s">
        <v>292</v>
      </c>
      <c r="C97" s="251">
        <v>66431.27</v>
      </c>
      <c r="D97" s="129">
        <f t="shared" si="54"/>
        <v>68424.208100000003</v>
      </c>
      <c r="E97" s="129">
        <f t="shared" si="54"/>
        <v>70476.934343000001</v>
      </c>
      <c r="F97" s="129">
        <f t="shared" si="54"/>
        <v>72591.242373290006</v>
      </c>
      <c r="G97" s="129">
        <f t="shared" si="54"/>
        <v>74768.979644488703</v>
      </c>
      <c r="H97" s="129">
        <f t="shared" si="54"/>
        <v>77012.049033823365</v>
      </c>
      <c r="I97" s="129" t="s">
        <v>248</v>
      </c>
      <c r="J97" s="249"/>
      <c r="L97" s="108" t="s">
        <v>249</v>
      </c>
      <c r="M97" s="108" t="s">
        <v>196</v>
      </c>
    </row>
    <row r="98" spans="1:13">
      <c r="A98" s="108" t="s">
        <v>293</v>
      </c>
      <c r="B98" s="108" t="s">
        <v>292</v>
      </c>
      <c r="C98" s="249">
        <v>73038.240000000005</v>
      </c>
      <c r="D98" s="280">
        <f t="shared" si="54"/>
        <v>75229.387200000012</v>
      </c>
      <c r="E98" s="280">
        <f t="shared" si="54"/>
        <v>77486.268816000011</v>
      </c>
      <c r="F98" s="280">
        <f t="shared" si="54"/>
        <v>79810.856880480016</v>
      </c>
      <c r="G98" s="280">
        <f t="shared" si="54"/>
        <v>82205.182586894414</v>
      </c>
      <c r="H98" s="280">
        <f t="shared" si="54"/>
        <v>84671.338064501251</v>
      </c>
      <c r="I98" s="280" t="s">
        <v>248</v>
      </c>
      <c r="J98" s="249"/>
      <c r="L98" s="108" t="s">
        <v>249</v>
      </c>
      <c r="M98" s="108" t="s">
        <v>196</v>
      </c>
    </row>
    <row r="99" spans="1:13">
      <c r="A99" s="128" t="s">
        <v>294</v>
      </c>
      <c r="B99" s="128" t="s">
        <v>228</v>
      </c>
      <c r="C99" s="129">
        <f>(20*52*16)</f>
        <v>16640</v>
      </c>
      <c r="D99" s="129">
        <f>(19*52*16.5)</f>
        <v>16302</v>
      </c>
      <c r="E99" s="129">
        <f>(19*52*17)</f>
        <v>16796</v>
      </c>
      <c r="F99" s="129">
        <f>(19*52*17.5)</f>
        <v>17290</v>
      </c>
      <c r="G99" s="129">
        <f>(19*52*18.5)</f>
        <v>18278</v>
      </c>
      <c r="H99" s="129">
        <f>(19*52*19.5)</f>
        <v>19266</v>
      </c>
      <c r="I99" s="129" t="s">
        <v>248</v>
      </c>
      <c r="J99" s="249"/>
      <c r="M99" s="278" t="s">
        <v>295</v>
      </c>
    </row>
    <row r="100" spans="1:13">
      <c r="J100" s="249"/>
    </row>
    <row r="101" spans="1:13">
      <c r="C101" s="285" t="s">
        <v>296</v>
      </c>
      <c r="D101" s="285"/>
      <c r="E101" s="285"/>
      <c r="F101" s="285"/>
      <c r="G101" s="285"/>
      <c r="H101" s="285"/>
      <c r="I101" s="285"/>
    </row>
    <row r="102" spans="1:13">
      <c r="A102" s="108" t="s">
        <v>297</v>
      </c>
      <c r="B102" s="108" t="s">
        <v>298</v>
      </c>
      <c r="C102" s="108" t="s">
        <v>176</v>
      </c>
      <c r="D102" s="108" t="s">
        <v>177</v>
      </c>
      <c r="E102" s="108" t="s">
        <v>179</v>
      </c>
      <c r="F102" s="108" t="s">
        <v>180</v>
      </c>
      <c r="G102" s="108" t="s">
        <v>181</v>
      </c>
      <c r="H102" s="108" t="s">
        <v>182</v>
      </c>
      <c r="I102" s="108" t="s">
        <v>189</v>
      </c>
      <c r="L102" s="272" t="s">
        <v>299</v>
      </c>
    </row>
    <row r="103" spans="1:13">
      <c r="A103" s="108" t="s">
        <v>300</v>
      </c>
      <c r="B103" s="111">
        <v>0</v>
      </c>
      <c r="C103" s="296">
        <v>0.375</v>
      </c>
      <c r="D103" s="298">
        <v>0.375</v>
      </c>
      <c r="E103" s="298">
        <v>0.375</v>
      </c>
      <c r="F103" s="298">
        <v>0.375</v>
      </c>
      <c r="G103" s="298">
        <v>0.375</v>
      </c>
      <c r="H103" s="298">
        <v>0.375</v>
      </c>
      <c r="I103" s="201" t="s">
        <v>301</v>
      </c>
      <c r="L103" s="270">
        <v>0.39100000000000001</v>
      </c>
    </row>
    <row r="104" spans="1:13">
      <c r="A104" s="108" t="s">
        <v>13</v>
      </c>
      <c r="B104" s="111">
        <v>0</v>
      </c>
      <c r="C104" s="296">
        <v>0.10199999999999999</v>
      </c>
      <c r="D104" s="298">
        <v>0.10199999999999999</v>
      </c>
      <c r="E104" s="298">
        <v>0.10199999999999999</v>
      </c>
      <c r="F104" s="298">
        <v>0.10199999999999999</v>
      </c>
      <c r="G104" s="298">
        <v>0.10199999999999999</v>
      </c>
      <c r="H104" s="298">
        <v>0.10199999999999999</v>
      </c>
      <c r="I104" s="201" t="s">
        <v>301</v>
      </c>
      <c r="L104" s="271">
        <v>0.111</v>
      </c>
    </row>
    <row r="105" spans="1:13">
      <c r="A105" s="108" t="s">
        <v>302</v>
      </c>
      <c r="B105" s="111">
        <v>0</v>
      </c>
      <c r="C105" s="296">
        <v>0.317</v>
      </c>
      <c r="D105" s="298">
        <v>0.317</v>
      </c>
      <c r="E105" s="298">
        <v>0.317</v>
      </c>
      <c r="F105" s="298">
        <v>0.317</v>
      </c>
      <c r="G105" s="298">
        <v>0.317</v>
      </c>
      <c r="H105" s="298">
        <v>0.317</v>
      </c>
      <c r="I105" s="201" t="s">
        <v>301</v>
      </c>
      <c r="L105" s="270">
        <v>0.25600000000000001</v>
      </c>
    </row>
    <row r="106" spans="1:13">
      <c r="A106" s="108" t="s">
        <v>303</v>
      </c>
      <c r="B106" s="111">
        <v>0</v>
      </c>
      <c r="C106" s="296">
        <v>2.4E-2</v>
      </c>
      <c r="D106" s="298">
        <v>2.4E-2</v>
      </c>
      <c r="E106" s="298">
        <v>2.4E-2</v>
      </c>
      <c r="F106" s="298">
        <v>2.4E-2</v>
      </c>
      <c r="G106" s="298">
        <v>2.4E-2</v>
      </c>
      <c r="H106" s="298">
        <v>2.4E-2</v>
      </c>
      <c r="I106" s="201" t="s">
        <v>304</v>
      </c>
      <c r="L106" s="271">
        <v>3.2000000000000001E-2</v>
      </c>
    </row>
    <row r="107" spans="1:13">
      <c r="A107" s="108" t="s">
        <v>193</v>
      </c>
      <c r="B107" s="111">
        <v>0</v>
      </c>
      <c r="C107" s="296">
        <v>0.45400000000000001</v>
      </c>
      <c r="D107" s="298">
        <v>0.45400000000000001</v>
      </c>
      <c r="E107" s="298">
        <v>0.45400000000000001</v>
      </c>
      <c r="F107" s="298">
        <v>0.45400000000000001</v>
      </c>
      <c r="G107" s="298">
        <v>0.45400000000000001</v>
      </c>
      <c r="H107" s="298">
        <v>0.45400000000000001</v>
      </c>
      <c r="I107" s="201" t="s">
        <v>301</v>
      </c>
      <c r="L107" s="270">
        <v>0.42</v>
      </c>
    </row>
    <row r="108" spans="1:13">
      <c r="A108" s="108" t="s">
        <v>305</v>
      </c>
      <c r="B108" s="111">
        <v>0</v>
      </c>
      <c r="C108" s="296">
        <v>2.4E-2</v>
      </c>
      <c r="D108" s="298">
        <v>2.4E-2</v>
      </c>
      <c r="E108" s="298">
        <v>2.4E-2</v>
      </c>
      <c r="F108" s="298">
        <v>2.4E-2</v>
      </c>
      <c r="G108" s="298">
        <v>2.4E-2</v>
      </c>
      <c r="H108" s="298">
        <v>2.4E-2</v>
      </c>
      <c r="I108" s="201" t="s">
        <v>304</v>
      </c>
      <c r="L108" s="271">
        <v>0.19800000000000001</v>
      </c>
    </row>
    <row r="109" spans="1:13">
      <c r="A109" s="108" t="s">
        <v>265</v>
      </c>
      <c r="B109" s="111">
        <v>0</v>
      </c>
      <c r="C109" s="296">
        <v>0.193</v>
      </c>
      <c r="D109" s="298">
        <v>0.193</v>
      </c>
      <c r="E109" s="298">
        <v>0.193</v>
      </c>
      <c r="F109" s="298">
        <v>0.193</v>
      </c>
      <c r="G109" s="298">
        <v>0.193</v>
      </c>
      <c r="H109" s="298">
        <v>0.193</v>
      </c>
      <c r="I109" s="201" t="s">
        <v>301</v>
      </c>
      <c r="L109" s="270">
        <v>0.25700000000000001</v>
      </c>
    </row>
    <row r="110" spans="1:13">
      <c r="A110" s="108" t="s">
        <v>292</v>
      </c>
      <c r="B110" s="111">
        <v>0</v>
      </c>
      <c r="C110" s="296">
        <v>0.45400000000000001</v>
      </c>
      <c r="D110" s="298">
        <v>0.45400000000000001</v>
      </c>
      <c r="E110" s="298">
        <v>0.45400000000000001</v>
      </c>
      <c r="F110" s="298">
        <v>0.45400000000000001</v>
      </c>
      <c r="G110" s="298">
        <v>0.45400000000000001</v>
      </c>
      <c r="H110" s="298">
        <v>0.45400000000000001</v>
      </c>
      <c r="I110" s="201" t="s">
        <v>304</v>
      </c>
      <c r="L110" s="271">
        <v>0.48699999999999999</v>
      </c>
    </row>
    <row r="111" spans="1:13">
      <c r="A111" s="108" t="s">
        <v>247</v>
      </c>
      <c r="B111" s="111">
        <v>0</v>
      </c>
      <c r="C111" s="296">
        <v>0.53700000000000003</v>
      </c>
      <c r="D111" s="298">
        <v>0.53700000000000003</v>
      </c>
      <c r="E111" s="298">
        <v>0.53700000000000003</v>
      </c>
      <c r="F111" s="298">
        <v>0.53700000000000003</v>
      </c>
      <c r="G111" s="298">
        <v>0.53700000000000003</v>
      </c>
      <c r="H111" s="298">
        <v>0.53700000000000003</v>
      </c>
      <c r="I111" s="201" t="s">
        <v>304</v>
      </c>
      <c r="L111" s="270">
        <v>0.58799999999999997</v>
      </c>
    </row>
    <row r="112" spans="1:13">
      <c r="A112" s="108" t="s">
        <v>228</v>
      </c>
      <c r="B112" s="111">
        <v>0</v>
      </c>
      <c r="C112" s="296">
        <v>2.4E-2</v>
      </c>
      <c r="D112" s="298">
        <v>2.4E-2</v>
      </c>
      <c r="E112" s="298">
        <v>2.4E-2</v>
      </c>
      <c r="F112" s="298">
        <v>2.4E-2</v>
      </c>
      <c r="G112" s="298">
        <v>2.4E-2</v>
      </c>
      <c r="H112" s="298">
        <v>2.4E-2</v>
      </c>
      <c r="I112" s="201" t="s">
        <v>301</v>
      </c>
      <c r="L112" s="271">
        <v>1.7999999999999999E-2</v>
      </c>
    </row>
    <row r="114" spans="1:12">
      <c r="K114" s="299" t="s">
        <v>297</v>
      </c>
      <c r="L114" s="299" t="s">
        <v>298</v>
      </c>
    </row>
    <row r="115" spans="1:12">
      <c r="A115" s="214" t="s">
        <v>306</v>
      </c>
      <c r="B115" s="215" t="s">
        <v>307</v>
      </c>
      <c r="C115" s="215" t="s">
        <v>176</v>
      </c>
      <c r="D115" s="215" t="s">
        <v>177</v>
      </c>
      <c r="E115" s="215" t="s">
        <v>179</v>
      </c>
      <c r="F115" s="215" t="s">
        <v>180</v>
      </c>
      <c r="G115" s="215" t="s">
        <v>181</v>
      </c>
      <c r="H115" s="215" t="s">
        <v>182</v>
      </c>
      <c r="I115" s="216" t="s">
        <v>189</v>
      </c>
      <c r="K115" s="300" t="s">
        <v>300</v>
      </c>
      <c r="L115" s="297">
        <v>7.0000000000000007E-2</v>
      </c>
    </row>
    <row r="116" spans="1:12">
      <c r="A116" s="220" t="s">
        <v>308</v>
      </c>
      <c r="B116" s="221">
        <f>(5040.57*3)</f>
        <v>15121.71</v>
      </c>
      <c r="C116" s="221">
        <f>B116*1.03</f>
        <v>15575.361299999999</v>
      </c>
      <c r="D116" s="221">
        <f t="shared" ref="D116:H116" si="55">C116*1.03</f>
        <v>16042.622138999999</v>
      </c>
      <c r="E116" s="221">
        <f t="shared" si="55"/>
        <v>16523.90080317</v>
      </c>
      <c r="F116" s="221">
        <f t="shared" si="55"/>
        <v>17019.617827265101</v>
      </c>
      <c r="G116" s="221">
        <f t="shared" si="55"/>
        <v>17530.206362083056</v>
      </c>
      <c r="H116" s="221">
        <f t="shared" si="55"/>
        <v>18056.112552945549</v>
      </c>
      <c r="I116" s="222" t="s">
        <v>94</v>
      </c>
      <c r="K116" s="301" t="s">
        <v>13</v>
      </c>
      <c r="L116" s="298">
        <v>0</v>
      </c>
    </row>
    <row r="117" spans="1:12">
      <c r="A117" s="223" t="s">
        <v>33</v>
      </c>
      <c r="B117" s="224">
        <f>(1793.55*3)</f>
        <v>5380.65</v>
      </c>
      <c r="C117" s="224">
        <f>B117*1.07</f>
        <v>5757.2955000000002</v>
      </c>
      <c r="D117" s="224">
        <f t="shared" ref="D117:H117" si="56">C117*1.07</f>
        <v>6160.3061850000004</v>
      </c>
      <c r="E117" s="224">
        <f t="shared" si="56"/>
        <v>6591.5276179500006</v>
      </c>
      <c r="F117" s="224">
        <f t="shared" si="56"/>
        <v>7052.9345512065011</v>
      </c>
      <c r="G117" s="224">
        <f t="shared" si="56"/>
        <v>7546.6399697909565</v>
      </c>
      <c r="H117" s="224">
        <f t="shared" si="56"/>
        <v>8074.9047676763239</v>
      </c>
      <c r="I117" s="225" t="s">
        <v>94</v>
      </c>
      <c r="K117" s="300" t="s">
        <v>302</v>
      </c>
      <c r="L117" s="297">
        <v>7.0000000000000007E-2</v>
      </c>
    </row>
    <row r="118" spans="1:12">
      <c r="A118" s="229" t="s">
        <v>309</v>
      </c>
      <c r="B118" s="230">
        <f t="shared" ref="B118:H118" si="57">SUM(B116:B117)</f>
        <v>20502.36</v>
      </c>
      <c r="C118" s="230">
        <f t="shared" si="57"/>
        <v>21332.656799999997</v>
      </c>
      <c r="D118" s="230">
        <f t="shared" si="57"/>
        <v>22202.928324</v>
      </c>
      <c r="E118" s="230">
        <f t="shared" si="57"/>
        <v>23115.428421119999</v>
      </c>
      <c r="F118" s="230">
        <f t="shared" si="57"/>
        <v>24072.552378471602</v>
      </c>
      <c r="G118" s="230">
        <f t="shared" si="57"/>
        <v>25076.846331874011</v>
      </c>
      <c r="H118" s="230">
        <f t="shared" si="57"/>
        <v>26131.017320621875</v>
      </c>
      <c r="I118" s="231" t="s">
        <v>94</v>
      </c>
      <c r="K118" s="301" t="s">
        <v>303</v>
      </c>
      <c r="L118" s="298">
        <v>0</v>
      </c>
    </row>
    <row r="119" spans="1:12">
      <c r="A119" s="217" t="s">
        <v>310</v>
      </c>
      <c r="B119" s="218">
        <f>5034*3</f>
        <v>15102</v>
      </c>
      <c r="C119" s="218">
        <f>B119*1.05</f>
        <v>15857.1</v>
      </c>
      <c r="D119" s="218">
        <f t="shared" ref="D119:H119" si="58">C119*1.05</f>
        <v>16649.955000000002</v>
      </c>
      <c r="E119" s="218">
        <f t="shared" si="58"/>
        <v>17482.452750000004</v>
      </c>
      <c r="F119" s="218">
        <f t="shared" si="58"/>
        <v>18356.575387500005</v>
      </c>
      <c r="G119" s="218">
        <f t="shared" si="58"/>
        <v>19274.404156875007</v>
      </c>
      <c r="H119" s="218">
        <f t="shared" si="58"/>
        <v>20238.124364718758</v>
      </c>
      <c r="I119" s="219" t="s">
        <v>94</v>
      </c>
      <c r="K119" s="300" t="s">
        <v>193</v>
      </c>
      <c r="L119" s="297">
        <v>7.4999999999999997E-2</v>
      </c>
    </row>
    <row r="120" spans="1:12">
      <c r="A120" s="226" t="s">
        <v>311</v>
      </c>
      <c r="B120" s="227">
        <f t="shared" ref="B120:H120" si="59">B119+B118</f>
        <v>35604.36</v>
      </c>
      <c r="C120" s="227">
        <f t="shared" si="59"/>
        <v>37189.756799999996</v>
      </c>
      <c r="D120" s="227">
        <f t="shared" si="59"/>
        <v>38852.883324000002</v>
      </c>
      <c r="E120" s="227">
        <f t="shared" si="59"/>
        <v>40597.881171120003</v>
      </c>
      <c r="F120" s="227">
        <f t="shared" si="59"/>
        <v>42429.127765971607</v>
      </c>
      <c r="G120" s="227">
        <f t="shared" si="59"/>
        <v>44351.250488749021</v>
      </c>
      <c r="H120" s="227">
        <f t="shared" si="59"/>
        <v>46369.141685340634</v>
      </c>
      <c r="I120" s="228"/>
      <c r="K120" s="301" t="s">
        <v>305</v>
      </c>
      <c r="L120" s="298">
        <v>0</v>
      </c>
    </row>
    <row r="121" spans="1:12">
      <c r="K121" s="300" t="s">
        <v>265</v>
      </c>
      <c r="L121" s="297">
        <v>0</v>
      </c>
    </row>
    <row r="122" spans="1:12">
      <c r="A122" s="108" t="s">
        <v>312</v>
      </c>
      <c r="B122" s="108" t="s">
        <v>313</v>
      </c>
      <c r="K122" s="301" t="s">
        <v>292</v>
      </c>
      <c r="L122" s="298">
        <v>7.4999999999999997E-2</v>
      </c>
    </row>
    <row r="123" spans="1:12">
      <c r="A123" s="108" t="s">
        <v>314</v>
      </c>
      <c r="B123" s="111">
        <v>0.05</v>
      </c>
      <c r="K123" s="300" t="s">
        <v>247</v>
      </c>
      <c r="L123" s="297">
        <v>7.4999999999999997E-2</v>
      </c>
    </row>
    <row r="124" spans="1:12">
      <c r="A124" s="108" t="s">
        <v>315</v>
      </c>
      <c r="B124" s="112">
        <v>6.4999999999999997E-3</v>
      </c>
      <c r="K124" s="301" t="s">
        <v>228</v>
      </c>
      <c r="L124" s="298">
        <v>0</v>
      </c>
    </row>
    <row r="125" spans="1:12">
      <c r="B125" s="112"/>
    </row>
    <row r="126" spans="1:12">
      <c r="B126" s="112"/>
    </row>
    <row r="129" spans="1:6" ht="14.4">
      <c r="A129" s="175" t="s">
        <v>316</v>
      </c>
      <c r="F129" s="295"/>
    </row>
    <row r="130" spans="1:6" ht="14.4">
      <c r="A130" s="176" t="s">
        <v>140</v>
      </c>
      <c r="E130" s="295"/>
    </row>
    <row r="131" spans="1:6">
      <c r="A131" s="177" t="s">
        <v>146</v>
      </c>
    </row>
    <row r="132" spans="1:6">
      <c r="A132" s="178" t="s">
        <v>147</v>
      </c>
    </row>
    <row r="133" spans="1:6">
      <c r="A133" s="177" t="s">
        <v>148</v>
      </c>
    </row>
    <row r="134" spans="1:6">
      <c r="A134" s="178" t="s">
        <v>317</v>
      </c>
    </row>
    <row r="136" spans="1:6">
      <c r="A136" s="197" t="s">
        <v>318</v>
      </c>
      <c r="B136" s="197"/>
    </row>
    <row r="137" spans="1:6">
      <c r="A137" s="198" t="s">
        <v>4</v>
      </c>
      <c r="B137" s="198">
        <v>0</v>
      </c>
    </row>
    <row r="138" spans="1:6">
      <c r="A138" s="199" t="s">
        <v>178</v>
      </c>
      <c r="B138" s="232">
        <v>6.4999999999999997E-3</v>
      </c>
      <c r="C138" s="211"/>
    </row>
    <row r="141" spans="1:6">
      <c r="A141" s="290" t="s">
        <v>319</v>
      </c>
    </row>
    <row r="142" spans="1:6">
      <c r="A142" s="108" t="s">
        <v>320</v>
      </c>
      <c r="B142" s="289">
        <v>7.4000000000000003E-3</v>
      </c>
    </row>
    <row r="143" spans="1:6">
      <c r="A143" s="108" t="s">
        <v>321</v>
      </c>
      <c r="B143" s="289">
        <v>1.21E-2</v>
      </c>
    </row>
    <row r="145" spans="1:2">
      <c r="A145" s="108" t="s">
        <v>322</v>
      </c>
      <c r="B145" s="111">
        <v>7.4999999999999997E-2</v>
      </c>
    </row>
    <row r="146" spans="1:2">
      <c r="A146" s="108" t="s">
        <v>323</v>
      </c>
      <c r="B146" s="111">
        <v>7.6999999999999999E-2</v>
      </c>
    </row>
  </sheetData>
  <sortState xmlns:xlrd2="http://schemas.microsoft.com/office/spreadsheetml/2017/richdata2" ref="A12:I95">
    <sortCondition ref="A12:A95"/>
  </sortState>
  <hyperlinks>
    <hyperlink ref="M11" r:id="rId1" xr:uid="{00000000-0004-0000-0300-000000000000}"/>
    <hyperlink ref="M54" r:id="rId2" xr:uid="{00000000-0004-0000-0300-000001000000}"/>
    <hyperlink ref="M95" r:id="rId3" xr:uid="{00000000-0004-0000-0300-000002000000}"/>
    <hyperlink ref="M99" r:id="rId4" xr:uid="{00000000-0004-0000-0300-000003000000}"/>
  </hyperlinks>
  <pageMargins left="0.7" right="0.7" top="0.75" bottom="0.75" header="0.3" footer="0.3"/>
  <pageSetup orientation="portrait" horizontalDpi="4294967295" verticalDpi="4294967295" r:id="rId5"/>
  <tableParts count="3"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13" workbookViewId="0">
      <selection activeCell="C50" sqref="C50"/>
    </sheetView>
  </sheetViews>
  <sheetFormatPr defaultRowHeight="13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DE259381BEB42B640FD10EBBB1240" ma:contentTypeVersion="17" ma:contentTypeDescription="Create a new document." ma:contentTypeScope="" ma:versionID="75c38821a445ac7e9cda1a44f5855ed1">
  <xsd:schema xmlns:xsd="http://www.w3.org/2001/XMLSchema" xmlns:xs="http://www.w3.org/2001/XMLSchema" xmlns:p="http://schemas.microsoft.com/office/2006/metadata/properties" xmlns:ns2="756b188e-822e-498e-b01c-7e289e878c59" xmlns:ns3="e127226b-1db7-4c65-9b58-5376e0f1c503" targetNamespace="http://schemas.microsoft.com/office/2006/metadata/properties" ma:root="true" ma:fieldsID="2c4c2a2f2b6c927ece75e5979cc5ae8d" ns2:_="" ns3:_="">
    <xsd:import namespace="756b188e-822e-498e-b01c-7e289e878c59"/>
    <xsd:import namespace="e127226b-1db7-4c65-9b58-5376e0f1c5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b188e-822e-498e-b01c-7e289e878c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7226b-1db7-4c65-9b58-5376e0f1c5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b188e-822e-498e-b01c-7e289e878c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37B8C4-2B00-4CC9-8152-83185107E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6b188e-822e-498e-b01c-7e289e878c59"/>
    <ds:schemaRef ds:uri="e127226b-1db7-4c65-9b58-5376e0f1c5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550ED3-84FD-43B4-A212-B2ACE44068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8281E5-B4E8-4C37-A9D3-415CB997DE40}">
  <ds:schemaRefs>
    <ds:schemaRef ds:uri="http://schemas.microsoft.com/office/2006/metadata/properties"/>
    <ds:schemaRef ds:uri="http://schemas.microsoft.com/office/infopath/2007/PartnerControls"/>
    <ds:schemaRef ds:uri="756b188e-822e-498e-b01c-7e289e878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SalaryWorksheet</vt:lpstr>
      <vt:lpstr>ProjectWrksht</vt:lpstr>
      <vt:lpstr>Summary</vt:lpstr>
      <vt:lpstr>TABLES</vt:lpstr>
      <vt:lpstr>F&amp;A Rates</vt:lpstr>
      <vt:lpstr>ProjectWrksht!Print_Area</vt:lpstr>
      <vt:lpstr>SalaryWorksheet!Print_Area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</dc:creator>
  <cp:keywords/>
  <dc:description/>
  <cp:lastModifiedBy>Breanne K Juarez</cp:lastModifiedBy>
  <cp:revision/>
  <dcterms:created xsi:type="dcterms:W3CDTF">1997-04-10T22:28:07Z</dcterms:created>
  <dcterms:modified xsi:type="dcterms:W3CDTF">2026-04-10T22:59:41Z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0x01010075BDE259381BEB42B640FD10EBBB1240</vt:lpwstr>
  </property>
  <property fmtid="{D5CDD505-2E9C-101B-9397-08002B2CF9AE}" pid="3" name="Order">
    <vt:r8>19427400</vt:r8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ediaServiceImageTags">
    <vt:lpwstr/>
  </property>
</Properties>
</file>